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01" yWindow="65326" windowWidth="16230" windowHeight="10620" activeTab="0"/>
  </bookViews>
  <sheets>
    <sheet name="TIGER TOTAL" sheetId="1" r:id="rId1"/>
    <sheet name="Congestion Management" sheetId="2" r:id="rId2"/>
    <sheet name="Transit" sheetId="3" r:id="rId3"/>
    <sheet name="Freight Rail" sheetId="4" r:id="rId4"/>
    <sheet name="Tables for Application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<sst xmlns="http://schemas.openxmlformats.org/spreadsheetml/2006/main" count="193" uniqueCount="129">
  <si>
    <t>CONGESTED INTERSECTION IMPROVEMENTS</t>
  </si>
  <si>
    <t>Hwy 58 @ Jersey Pike</t>
  </si>
  <si>
    <t>Old Lee Hwy @ Apison Pike</t>
  </si>
  <si>
    <t>Bonny Oaks @ Hwy 153 NB Off Ramp</t>
  </si>
  <si>
    <t>Jersey Pike @ Hwy 153 NB Off Ramp</t>
  </si>
  <si>
    <t>Hickory Valley @ Discovery Dr.</t>
  </si>
  <si>
    <t>Construction</t>
  </si>
  <si>
    <t>Total</t>
  </si>
  <si>
    <t>New Traffic Signals</t>
  </si>
  <si>
    <t>New Traffic Signals and Lane Additions</t>
  </si>
  <si>
    <t>Controller, Cabinet and Communications</t>
  </si>
  <si>
    <t>Cost/Unit</t>
  </si>
  <si>
    <t>ARTERIAL COMMUNICATIONS</t>
  </si>
  <si>
    <t>TOTAL</t>
  </si>
  <si>
    <t>Surveillance (Camera, Pole, Cabinet, Communications)</t>
  </si>
  <si>
    <t>DMS (Signage, Cabinet, Controller and Communications)</t>
  </si>
  <si>
    <t>Unit</t>
  </si>
  <si>
    <t>No. Units</t>
  </si>
  <si>
    <t>48 Inch Plazma Display</t>
  </si>
  <si>
    <t>ea</t>
  </si>
  <si>
    <t>ft</t>
  </si>
  <si>
    <t>Laptop for equipment troubleshooting and diagnostic software</t>
  </si>
  <si>
    <t>Detection Equipment (4-Det., Cabinet and Communications)</t>
  </si>
  <si>
    <t>RR DMS (Signage, Cabinet, Controller and Communications)</t>
  </si>
  <si>
    <t>RR Surveillance (Camera, Pole, Cabinet, Communications)</t>
  </si>
  <si>
    <t>CHATTANOOGA ITS SYSTEM</t>
  </si>
  <si>
    <t>Hwy 58 @ Clark Rd/Enterprise South N Entr. And</t>
  </si>
  <si>
    <t>ITS System Design</t>
  </si>
  <si>
    <t>Fiber Optic Cable Installation (includes equipment and fiber splicing)</t>
  </si>
  <si>
    <t>POP Equipment to connect to EPB</t>
  </si>
  <si>
    <t>SUBTOTAL</t>
  </si>
  <si>
    <t>ENGINEERING</t>
  </si>
  <si>
    <t>Timing Plan Development for 307 Traffic Signals</t>
  </si>
  <si>
    <t>TRAFFIC OPERATION CENTER (TOC) UPGRADE</t>
  </si>
  <si>
    <t xml:space="preserve">Total Construction </t>
  </si>
  <si>
    <t>Intersection Upgrade+Communications Upgrade+TOC Upgrade</t>
  </si>
  <si>
    <t>TOTAL CONGESTION MITIGATION PROJECT COST</t>
  </si>
  <si>
    <t>TRANSIT ESTIMATE</t>
  </si>
  <si>
    <t>ITEM</t>
  </si>
  <si>
    <t>PARK AND RIDE PROGRAM</t>
  </si>
  <si>
    <t>Site Upgrade Cost</t>
  </si>
  <si>
    <t>Site</t>
  </si>
  <si>
    <t>Unit Cost</t>
  </si>
  <si>
    <t>BUS SERVICE  TO VW</t>
  </si>
  <si>
    <t>New Buses</t>
  </si>
  <si>
    <t>RIDE SHARING PROGRAM</t>
  </si>
  <si>
    <t>Software and Hardware</t>
  </si>
  <si>
    <t>ESTIMATED COST</t>
  </si>
  <si>
    <t>TOTAL ESTIMATE FOR TIGER GRANT APPLICATION REQUEST</t>
  </si>
  <si>
    <t>CONGESTION MANAGEMENT</t>
  </si>
  <si>
    <t>TRANSIT</t>
  </si>
  <si>
    <t>FREIGHT RAIL</t>
  </si>
  <si>
    <t>Controller, Cabinet and Communications+Base</t>
  </si>
  <si>
    <t>Adaptive Arterial Control (Software, License and Field Eq.)</t>
  </si>
  <si>
    <t>TOTAL CONGESTED INTERSECTION IMPROVEMENTS</t>
  </si>
  <si>
    <t>EMS Opticom Equipment</t>
  </si>
  <si>
    <t>Construction Contingency</t>
  </si>
  <si>
    <t xml:space="preserve">Sub Total Construction </t>
  </si>
  <si>
    <t xml:space="preserve">CONSTRUCTION INSPECTION </t>
  </si>
  <si>
    <t>Controller, MMU and Communications</t>
  </si>
  <si>
    <t>BUS ITS APPLICATIONS</t>
  </si>
  <si>
    <t>Adaptive Transit Signal Priority</t>
  </si>
  <si>
    <t>1 per bus</t>
  </si>
  <si>
    <t>System Integration</t>
  </si>
  <si>
    <t>POP Cabinet Upgrade (Refurbish Existing Cabinets)</t>
  </si>
  <si>
    <t>Hwy 58 @ Hickory Valley- Major Geometric Improvements</t>
  </si>
  <si>
    <t>EPB FIBER MESH NETWORK CONSTRUCTION</t>
  </si>
  <si>
    <t>Local Contribution</t>
  </si>
  <si>
    <t>TOTAL CHATTANOOGA ITS SYSTEM COST</t>
  </si>
  <si>
    <t>CHATTANOOGA ITS SYSTEM GRANT REQUEST</t>
  </si>
  <si>
    <t>1. Controller, Cabinet and Communications+Base</t>
  </si>
  <si>
    <t>2. Controller, Cabinet and Communications</t>
  </si>
  <si>
    <t>3. Controller, MMU and Communications</t>
  </si>
  <si>
    <t>4. Detection Equipment (4-Det., Cabinet and Communications)</t>
  </si>
  <si>
    <t>5. EMS Opticom Equipment</t>
  </si>
  <si>
    <t>6. Surveillance (Camera, Pole, Cabinet, Communications)</t>
  </si>
  <si>
    <t>7. RR Surveillance (Camera, Pole, Cabinet, Communications)</t>
  </si>
  <si>
    <t>8. DMS (Signage, Cabinet, Controller and Communications)</t>
  </si>
  <si>
    <t>9. RR DMS (Signage, Cabinet, Controller and Communications)</t>
  </si>
  <si>
    <t>SUMMARY OF ITS SYSTEM COSTS</t>
  </si>
  <si>
    <t xml:space="preserve">INTERSECTION EQUIPMENT UPGRADE </t>
  </si>
  <si>
    <t>Contingency at 15%</t>
  </si>
  <si>
    <t>Total Construction</t>
  </si>
  <si>
    <t>Engineering</t>
  </si>
  <si>
    <t xml:space="preserve">     1. Design</t>
  </si>
  <si>
    <t>Total Engineering</t>
  </si>
  <si>
    <t xml:space="preserve">     2. Traffic Signal Timing Development for 307 Traffic Signals @ $2,000/signal</t>
  </si>
  <si>
    <t xml:space="preserve">     3. Construction Inspection at 10% of Construction</t>
  </si>
  <si>
    <t>SUMMARY OF CONGESTED INTERSECTION IMPROVEMENTS</t>
  </si>
  <si>
    <t>New Traffic Signals (5)</t>
  </si>
  <si>
    <t>New Traffic Signals and Turn Lane Additions (2 locations)</t>
  </si>
  <si>
    <t xml:space="preserve">     2. Construction Inspection at 10% of Construction</t>
  </si>
  <si>
    <t>Construction Contingency at 15%</t>
  </si>
  <si>
    <t xml:space="preserve">Construction  </t>
  </si>
  <si>
    <t xml:space="preserve">     2. Construction Inspection at 10% of construction</t>
  </si>
  <si>
    <t>Total ESTIMATED ITS SYSTEM COSTS</t>
  </si>
  <si>
    <t>Total CONGESTED INTERSECTION IMPROVEMENT COSTS</t>
  </si>
  <si>
    <t>Subtotal</t>
  </si>
  <si>
    <t>Contingency</t>
  </si>
  <si>
    <t>Fencing</t>
  </si>
  <si>
    <t>Anchors</t>
  </si>
  <si>
    <t>Quantity</t>
  </si>
  <si>
    <t>Item</t>
  </si>
  <si>
    <t>Cost/unit</t>
  </si>
  <si>
    <t>Feet of New construction</t>
  </si>
  <si>
    <t>Grading and Site Prep</t>
  </si>
  <si>
    <t>ls</t>
  </si>
  <si>
    <t>Cross Ties-Furnish and Install</t>
  </si>
  <si>
    <t>Rail-Furnish and Install</t>
  </si>
  <si>
    <t>track ft</t>
  </si>
  <si>
    <t>Rail-Install only</t>
  </si>
  <si>
    <t>track feet</t>
  </si>
  <si>
    <t>Tie Plates</t>
  </si>
  <si>
    <t>Switch ties-Furnish and Install</t>
  </si>
  <si>
    <t>linear feet</t>
  </si>
  <si>
    <t>Switches-Furnish and Install</t>
  </si>
  <si>
    <t>Switches-Install Only</t>
  </si>
  <si>
    <t>Ballast Furnish and install</t>
  </si>
  <si>
    <t>ton</t>
  </si>
  <si>
    <t>Track tamping and Regulating</t>
  </si>
  <si>
    <t>Switch Tamping and Regulating</t>
  </si>
  <si>
    <t>Relocate Shop</t>
  </si>
  <si>
    <t>Purchase High Efficiency/Low Emmission Locomotive</t>
  </si>
  <si>
    <t>Project Total</t>
  </si>
  <si>
    <t>TIGER FREIGHT RAIL ESTIMATE</t>
  </si>
  <si>
    <t xml:space="preserve">TOTAL CONG. MIT. PROJECT COST </t>
  </si>
  <si>
    <t>Unit Price</t>
  </si>
  <si>
    <t>Uninterrupted Power for POP Equipment Only</t>
  </si>
  <si>
    <t>ITS Regional System Software (DMS, Incidents, Video, etc.)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</si>
</sst>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"/>
    <numFmt numFmtId="166" formatCode="&quot;$&quot;#,##0"/>
    <numFmt numFmtId="167" formatCode="&quot;$&quot;#,##0.0"/>
  </numFmts>
  <fonts count="54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2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sz val="16"/>
      <color indexed="8"/>
      <name val="Arial"/>
      <family val="2"/>
    </font>
    <font>
      <b/>
      <sz val="12"/>
      <color indexed="8"/>
      <name val="Calibri"/>
      <family val="2"/>
    </font>
    <font>
      <b/>
      <sz val="16"/>
      <color indexed="8"/>
      <name val="Arial"/>
      <family val="2"/>
    </font>
    <font>
      <sz val="16"/>
      <color indexed="8"/>
      <name val="Calibri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4"/>
      <color theme="1"/>
      <name val="Arial"/>
      <family val="2"/>
    </font>
    <font>
      <sz val="11"/>
      <color theme="1"/>
      <name val="Calibri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b/>
      <sz val="12"/>
      <color theme="1"/>
      <name val="Calibri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47" fillId="0" borderId="0" xfId="0" applyFont="1" applyAlignment="1">
      <alignment/>
    </xf>
    <xf numFmtId="0" fontId="45" fillId="0" borderId="0" xfId="0" applyFont="1" applyAlignment="1">
      <alignment/>
    </xf>
    <xf numFmtId="0" fontId="48" fillId="0" borderId="0" xfId="0" applyFont="1" applyAlignment="1">
      <alignment/>
    </xf>
    <xf numFmtId="6" fontId="48" fillId="0" borderId="0" xfId="0" applyNumberFormat="1" applyFont="1" applyAlignment="1">
      <alignment/>
    </xf>
    <xf numFmtId="0" fontId="49" fillId="0" borderId="0" xfId="0" applyFont="1" applyAlignment="1">
      <alignment wrapText="1"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48" fillId="0" borderId="10" xfId="0" applyFont="1" applyBorder="1" applyAlignment="1">
      <alignment/>
    </xf>
    <xf numFmtId="6" fontId="48" fillId="0" borderId="10" xfId="0" applyNumberFormat="1" applyFont="1" applyBorder="1" applyAlignment="1">
      <alignment/>
    </xf>
    <xf numFmtId="164" fontId="45" fillId="0" borderId="0" xfId="0" applyNumberFormat="1" applyFont="1" applyAlignment="1">
      <alignment/>
    </xf>
    <xf numFmtId="0" fontId="0" fillId="0" borderId="0" xfId="0" applyFont="1" applyAlignment="1">
      <alignment/>
    </xf>
    <xf numFmtId="0" fontId="45" fillId="0" borderId="0" xfId="0" applyFont="1" applyAlignment="1">
      <alignment wrapText="1"/>
    </xf>
    <xf numFmtId="0" fontId="0" fillId="0" borderId="10" xfId="0" applyFont="1" applyBorder="1" applyAlignment="1">
      <alignment/>
    </xf>
    <xf numFmtId="1" fontId="0" fillId="0" borderId="0" xfId="0" applyNumberFormat="1" applyAlignment="1">
      <alignment/>
    </xf>
    <xf numFmtId="0" fontId="45" fillId="0" borderId="11" xfId="0" applyFont="1" applyBorder="1" applyAlignment="1">
      <alignment/>
    </xf>
    <xf numFmtId="0" fontId="0" fillId="0" borderId="11" xfId="0" applyBorder="1" applyAlignment="1">
      <alignment/>
    </xf>
    <xf numFmtId="164" fontId="45" fillId="0" borderId="11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10" fontId="0" fillId="0" borderId="0" xfId="0" applyNumberFormat="1" applyAlignment="1">
      <alignment/>
    </xf>
    <xf numFmtId="0" fontId="48" fillId="0" borderId="12" xfId="0" applyFont="1" applyBorder="1" applyAlignment="1">
      <alignment/>
    </xf>
    <xf numFmtId="0" fontId="48" fillId="0" borderId="13" xfId="0" applyFont="1" applyBorder="1" applyAlignment="1">
      <alignment/>
    </xf>
    <xf numFmtId="0" fontId="0" fillId="0" borderId="13" xfId="0" applyBorder="1" applyAlignment="1">
      <alignment/>
    </xf>
    <xf numFmtId="0" fontId="52" fillId="0" borderId="14" xfId="0" applyFont="1" applyBorder="1" applyAlignment="1">
      <alignment/>
    </xf>
    <xf numFmtId="0" fontId="53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48" fillId="0" borderId="15" xfId="0" applyFont="1" applyBorder="1" applyAlignment="1">
      <alignment/>
    </xf>
    <xf numFmtId="0" fontId="48" fillId="0" borderId="11" xfId="0" applyFont="1" applyBorder="1" applyAlignment="1">
      <alignment/>
    </xf>
    <xf numFmtId="6" fontId="0" fillId="0" borderId="0" xfId="0" applyNumberForma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Border="1" applyAlignment="1">
      <alignment/>
    </xf>
    <xf numFmtId="10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6" fontId="0" fillId="0" borderId="11" xfId="0" applyNumberFormat="1" applyBorder="1" applyAlignment="1">
      <alignment/>
    </xf>
    <xf numFmtId="166" fontId="45" fillId="0" borderId="0" xfId="0" applyNumberFormat="1" applyFont="1" applyAlignment="1">
      <alignment/>
    </xf>
    <xf numFmtId="166" fontId="0" fillId="0" borderId="10" xfId="0" applyNumberFormat="1" applyBorder="1" applyAlignment="1">
      <alignment/>
    </xf>
    <xf numFmtId="0" fontId="45" fillId="0" borderId="0" xfId="0" applyFont="1" applyAlignment="1">
      <alignment horizontal="center" wrapText="1"/>
    </xf>
    <xf numFmtId="166" fontId="45" fillId="0" borderId="11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166" fontId="0" fillId="0" borderId="11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0" fillId="0" borderId="16" xfId="0" applyNumberFormat="1" applyBorder="1" applyAlignment="1">
      <alignment/>
    </xf>
    <xf numFmtId="166" fontId="47" fillId="0" borderId="0" xfId="0" applyNumberFormat="1" applyFont="1" applyFill="1" applyBorder="1" applyAlignment="1">
      <alignment/>
    </xf>
    <xf numFmtId="164" fontId="47" fillId="0" borderId="0" xfId="0" applyNumberFormat="1" applyFont="1" applyAlignment="1">
      <alignment/>
    </xf>
    <xf numFmtId="164" fontId="45" fillId="0" borderId="0" xfId="0" applyNumberFormat="1" applyFont="1" applyAlignment="1">
      <alignment horizontal="right"/>
    </xf>
    <xf numFmtId="164" fontId="48" fillId="0" borderId="0" xfId="0" applyNumberFormat="1" applyFont="1" applyAlignment="1">
      <alignment/>
    </xf>
    <xf numFmtId="166" fontId="0" fillId="0" borderId="0" xfId="0" applyNumberFormat="1" applyBorder="1" applyAlignment="1">
      <alignment/>
    </xf>
    <xf numFmtId="166" fontId="45" fillId="0" borderId="0" xfId="0" applyNumberFormat="1" applyFont="1" applyBorder="1" applyAlignment="1">
      <alignment/>
    </xf>
    <xf numFmtId="166" fontId="47" fillId="33" borderId="0" xfId="0" applyNumberFormat="1" applyFont="1" applyFill="1" applyBorder="1" applyAlignment="1">
      <alignment/>
    </xf>
    <xf numFmtId="166" fontId="48" fillId="0" borderId="0" xfId="0" applyNumberFormat="1" applyFont="1" applyAlignment="1">
      <alignment/>
    </xf>
    <xf numFmtId="166" fontId="0" fillId="0" borderId="17" xfId="0" applyNumberFormat="1" applyBorder="1" applyAlignment="1">
      <alignment/>
    </xf>
    <xf numFmtId="166" fontId="0" fillId="0" borderId="0" xfId="0" applyNumberFormat="1" applyFont="1" applyBorder="1" applyAlignment="1">
      <alignment/>
    </xf>
    <xf numFmtId="166" fontId="0" fillId="0" borderId="13" xfId="0" applyNumberFormat="1" applyBorder="1" applyAlignment="1">
      <alignment/>
    </xf>
    <xf numFmtId="166" fontId="0" fillId="0" borderId="18" xfId="0" applyNumberFormat="1" applyBorder="1" applyAlignment="1">
      <alignment/>
    </xf>
    <xf numFmtId="166" fontId="50" fillId="0" borderId="0" xfId="0" applyNumberFormat="1" applyFont="1" applyBorder="1" applyAlignment="1">
      <alignment/>
    </xf>
    <xf numFmtId="166" fontId="0" fillId="0" borderId="10" xfId="0" applyNumberFormat="1" applyFill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3" fontId="0" fillId="0" borderId="19" xfId="0" applyNumberFormat="1" applyBorder="1" applyAlignment="1">
      <alignment/>
    </xf>
    <xf numFmtId="44" fontId="0" fillId="0" borderId="19" xfId="44" applyFont="1" applyBorder="1" applyAlignment="1">
      <alignment/>
    </xf>
    <xf numFmtId="9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44" fontId="0" fillId="0" borderId="20" xfId="44" applyFont="1" applyBorder="1" applyAlignment="1">
      <alignment/>
    </xf>
    <xf numFmtId="0" fontId="0" fillId="0" borderId="21" xfId="0" applyBorder="1" applyAlignment="1">
      <alignment wrapText="1"/>
    </xf>
    <xf numFmtId="0" fontId="0" fillId="0" borderId="21" xfId="0" applyBorder="1" applyAlignment="1">
      <alignment/>
    </xf>
    <xf numFmtId="44" fontId="0" fillId="0" borderId="21" xfId="44" applyFont="1" applyBorder="1" applyAlignment="1">
      <alignment/>
    </xf>
    <xf numFmtId="0" fontId="45" fillId="0" borderId="19" xfId="0" applyFont="1" applyBorder="1" applyAlignment="1">
      <alignment/>
    </xf>
    <xf numFmtId="44" fontId="45" fillId="0" borderId="19" xfId="44" applyFont="1" applyBorder="1" applyAlignment="1">
      <alignment/>
    </xf>
    <xf numFmtId="166" fontId="52" fillId="0" borderId="22" xfId="0" applyNumberFormat="1" applyFont="1" applyFill="1" applyBorder="1" applyAlignment="1">
      <alignment/>
    </xf>
    <xf numFmtId="166" fontId="52" fillId="33" borderId="0" xfId="0" applyNumberFormat="1" applyFont="1" applyFill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45" fillId="0" borderId="0" xfId="0" applyFont="1" applyAlignment="1">
      <alignment horizontal="right" wrapText="1"/>
    </xf>
    <xf numFmtId="164" fontId="0" fillId="0" borderId="0" xfId="0" applyNumberFormat="1" applyAlignment="1">
      <alignment horizontal="right"/>
    </xf>
    <xf numFmtId="4" fontId="45" fillId="0" borderId="0" xfId="0" applyNumberFormat="1" applyFont="1" applyAlignment="1">
      <alignment wrapText="1"/>
    </xf>
    <xf numFmtId="0" fontId="0" fillId="0" borderId="11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meyer\Local%20Settings\Temporary%20Internet%20Files\Content.Outlook\K5U2UW1W\TIGER%20Total%20Cost%20Estimate%2009-09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Estimate"/>
      <sheetName val="Support Sheet"/>
      <sheetName val="Sheet2"/>
      <sheetName val="Sheet3"/>
    </sheetNames>
    <sheetDataSet>
      <sheetData sheetId="1">
        <row r="7">
          <cell r="E7">
            <v>37900</v>
          </cell>
        </row>
        <row r="11">
          <cell r="E11">
            <v>4583333</v>
          </cell>
        </row>
        <row r="12">
          <cell r="E12">
            <v>1000000</v>
          </cell>
        </row>
        <row r="33">
          <cell r="E33">
            <v>150000</v>
          </cell>
        </row>
        <row r="70">
          <cell r="J70">
            <v>30.94</v>
          </cell>
        </row>
        <row r="79">
          <cell r="J79">
            <v>26.5</v>
          </cell>
        </row>
        <row r="88">
          <cell r="K88">
            <v>21.46</v>
          </cell>
        </row>
        <row r="96">
          <cell r="K96">
            <v>8.5</v>
          </cell>
          <cell r="AC96">
            <v>8.5</v>
          </cell>
        </row>
        <row r="106">
          <cell r="C106">
            <v>27655</v>
          </cell>
        </row>
        <row r="110">
          <cell r="C110">
            <v>6765</v>
          </cell>
        </row>
        <row r="115">
          <cell r="C115">
            <v>5.65</v>
          </cell>
        </row>
        <row r="126">
          <cell r="J126">
            <v>1.9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F19" sqref="F19"/>
    </sheetView>
  </sheetViews>
  <sheetFormatPr defaultColWidth="8.88671875" defaultRowHeight="15"/>
  <cols>
    <col min="6" max="6" width="17.99609375" style="0" customWidth="1"/>
  </cols>
  <sheetData>
    <row r="1" s="1" customFormat="1" ht="18">
      <c r="A1" s="1" t="s">
        <v>48</v>
      </c>
    </row>
    <row r="2" s="1" customFormat="1" ht="18"/>
    <row r="3" s="1" customFormat="1" ht="18"/>
    <row r="5" spans="1:6" ht="15.75">
      <c r="A5" s="2" t="s">
        <v>49</v>
      </c>
      <c r="F5" s="15">
        <f>'Congestion Management'!E97</f>
        <v>19754000</v>
      </c>
    </row>
    <row r="7" spans="1:6" ht="15.75">
      <c r="A7" s="2" t="s">
        <v>50</v>
      </c>
      <c r="F7" s="15">
        <f>Transit!E19</f>
        <v>3590000</v>
      </c>
    </row>
    <row r="8" ht="15.75">
      <c r="A8" s="2"/>
    </row>
    <row r="9" spans="1:6" ht="16.5" thickBot="1">
      <c r="A9" s="20" t="s">
        <v>51</v>
      </c>
      <c r="B9" s="21"/>
      <c r="C9" s="21"/>
      <c r="D9" s="21"/>
      <c r="E9" s="21"/>
      <c r="F9" s="22">
        <f>'Freight Rail'!F31</f>
        <v>16650000</v>
      </c>
    </row>
    <row r="12" spans="1:6" ht="15.75">
      <c r="A12" s="2" t="s">
        <v>13</v>
      </c>
      <c r="F12" s="15">
        <f>SUM(F5:F11)</f>
        <v>39994000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10"/>
  <sheetViews>
    <sheetView view="pageBreakPreview" zoomScaleSheetLayoutView="100" zoomScalePageLayoutView="0" workbookViewId="0" topLeftCell="A28">
      <selection activeCell="A33" sqref="A33"/>
    </sheetView>
  </sheetViews>
  <sheetFormatPr defaultColWidth="8.88671875" defaultRowHeight="15"/>
  <cols>
    <col min="1" max="1" width="54.3359375" style="0" customWidth="1"/>
    <col min="2" max="2" width="9.4453125" style="0" customWidth="1"/>
    <col min="3" max="3" width="9.99609375" style="0" customWidth="1"/>
    <col min="4" max="4" width="14.10546875" style="0" customWidth="1"/>
    <col min="5" max="5" width="18.6640625" style="0" customWidth="1"/>
    <col min="7" max="7" width="11.10546875" style="0" customWidth="1"/>
    <col min="8" max="8" width="5.77734375" style="0" customWidth="1"/>
    <col min="9" max="9" width="7.4453125" style="0" customWidth="1"/>
  </cols>
  <sheetData>
    <row r="2" spans="1:2" ht="18">
      <c r="A2" s="1" t="s">
        <v>25</v>
      </c>
      <c r="B2" s="1"/>
    </row>
    <row r="5" spans="1:5" ht="15.75">
      <c r="A5" s="2" t="s">
        <v>80</v>
      </c>
      <c r="B5" s="2" t="s">
        <v>16</v>
      </c>
      <c r="C5" s="2" t="s">
        <v>17</v>
      </c>
      <c r="D5" s="2" t="s">
        <v>11</v>
      </c>
      <c r="E5" s="2" t="s">
        <v>7</v>
      </c>
    </row>
    <row r="6" spans="1:5" ht="15">
      <c r="A6" t="s">
        <v>52</v>
      </c>
      <c r="B6" s="16" t="s">
        <v>19</v>
      </c>
      <c r="C6" s="16">
        <v>14</v>
      </c>
      <c r="D6" s="39">
        <v>20000</v>
      </c>
      <c r="E6" s="39">
        <f>D6*C6</f>
        <v>280000</v>
      </c>
    </row>
    <row r="7" spans="1:5" ht="15">
      <c r="A7" t="s">
        <v>10</v>
      </c>
      <c r="B7" t="s">
        <v>19</v>
      </c>
      <c r="C7">
        <v>14</v>
      </c>
      <c r="D7" s="39">
        <v>17000</v>
      </c>
      <c r="E7" s="39">
        <f>D7*C7</f>
        <v>238000</v>
      </c>
    </row>
    <row r="8" spans="1:5" ht="15">
      <c r="A8" t="s">
        <v>59</v>
      </c>
      <c r="B8" t="s">
        <v>19</v>
      </c>
      <c r="C8">
        <v>200</v>
      </c>
      <c r="D8" s="39">
        <v>8000</v>
      </c>
      <c r="E8" s="39">
        <f aca="true" t="shared" si="0" ref="E8:E14">D8*C8</f>
        <v>1600000</v>
      </c>
    </row>
    <row r="9" spans="1:5" ht="15">
      <c r="A9" t="s">
        <v>22</v>
      </c>
      <c r="B9" t="s">
        <v>19</v>
      </c>
      <c r="C9">
        <v>62</v>
      </c>
      <c r="D9" s="39">
        <v>25000</v>
      </c>
      <c r="E9" s="39">
        <f t="shared" si="0"/>
        <v>1550000</v>
      </c>
    </row>
    <row r="10" spans="1:5" ht="15">
      <c r="A10" t="s">
        <v>55</v>
      </c>
      <c r="B10" t="s">
        <v>19</v>
      </c>
      <c r="C10">
        <v>228</v>
      </c>
      <c r="D10" s="39">
        <v>7500</v>
      </c>
      <c r="E10" s="39">
        <f t="shared" si="0"/>
        <v>1710000</v>
      </c>
    </row>
    <row r="11" spans="1:5" ht="15">
      <c r="A11" s="8" t="s">
        <v>14</v>
      </c>
      <c r="B11" t="s">
        <v>19</v>
      </c>
      <c r="C11" s="8">
        <v>25</v>
      </c>
      <c r="D11" s="39">
        <v>30000</v>
      </c>
      <c r="E11" s="39">
        <f t="shared" si="0"/>
        <v>750000</v>
      </c>
    </row>
    <row r="12" spans="1:5" ht="15">
      <c r="A12" s="8" t="s">
        <v>24</v>
      </c>
      <c r="B12" s="8" t="s">
        <v>19</v>
      </c>
      <c r="C12" s="8">
        <v>10</v>
      </c>
      <c r="D12" s="39">
        <v>50000</v>
      </c>
      <c r="E12" s="39">
        <f t="shared" si="0"/>
        <v>500000</v>
      </c>
    </row>
    <row r="13" spans="1:5" ht="15">
      <c r="A13" s="7" t="s">
        <v>15</v>
      </c>
      <c r="B13" s="8" t="s">
        <v>19</v>
      </c>
      <c r="C13" s="8">
        <v>25</v>
      </c>
      <c r="D13" s="53">
        <v>30000</v>
      </c>
      <c r="E13" s="39">
        <f t="shared" si="0"/>
        <v>750000</v>
      </c>
    </row>
    <row r="14" spans="1:5" ht="15.75" thickBot="1">
      <c r="A14" s="9" t="s">
        <v>23</v>
      </c>
      <c r="B14" s="6" t="s">
        <v>19</v>
      </c>
      <c r="C14" s="6">
        <v>6</v>
      </c>
      <c r="D14" s="42">
        <v>30000</v>
      </c>
      <c r="E14" s="42">
        <f t="shared" si="0"/>
        <v>180000</v>
      </c>
    </row>
    <row r="15" spans="1:5" ht="16.5" thickTop="1">
      <c r="A15" s="2" t="s">
        <v>30</v>
      </c>
      <c r="B15" s="2"/>
      <c r="C15" s="8"/>
      <c r="D15" s="39"/>
      <c r="E15" s="41">
        <f>SUM(E7:E14)</f>
        <v>7278000</v>
      </c>
    </row>
    <row r="16" spans="1:5" ht="15">
      <c r="A16" s="8"/>
      <c r="B16" s="8"/>
      <c r="C16" s="8"/>
      <c r="D16" s="12"/>
      <c r="E16" s="12"/>
    </row>
    <row r="17" spans="1:5" ht="15">
      <c r="A17" s="8"/>
      <c r="B17" s="8"/>
      <c r="C17" s="8"/>
      <c r="D17" s="12"/>
      <c r="E17" s="12"/>
    </row>
    <row r="18" spans="4:5" ht="15">
      <c r="D18" s="10"/>
      <c r="E18" s="10"/>
    </row>
    <row r="19" spans="4:5" ht="15">
      <c r="D19" s="10"/>
      <c r="E19" s="10"/>
    </row>
    <row r="20" spans="1:5" ht="15.75">
      <c r="A20" s="2" t="s">
        <v>12</v>
      </c>
      <c r="B20" s="2"/>
      <c r="D20" s="10"/>
      <c r="E20" s="10"/>
    </row>
    <row r="21" spans="1:5" ht="15.75">
      <c r="A21" s="2"/>
      <c r="B21" s="2" t="s">
        <v>16</v>
      </c>
      <c r="C21" s="2" t="s">
        <v>17</v>
      </c>
      <c r="D21" s="15" t="s">
        <v>11</v>
      </c>
      <c r="E21" s="15" t="s">
        <v>7</v>
      </c>
    </row>
    <row r="22" spans="1:7" ht="15">
      <c r="A22" t="s">
        <v>28</v>
      </c>
      <c r="B22" t="s">
        <v>20</v>
      </c>
      <c r="C22" s="64">
        <v>300000</v>
      </c>
      <c r="D22" s="10">
        <v>5</v>
      </c>
      <c r="E22" s="53">
        <f>C22*D22</f>
        <v>1500000</v>
      </c>
      <c r="G22" s="19"/>
    </row>
    <row r="23" spans="1:7" ht="15">
      <c r="A23" t="s">
        <v>64</v>
      </c>
      <c r="B23" t="s">
        <v>19</v>
      </c>
      <c r="C23" s="19">
        <v>45</v>
      </c>
      <c r="D23" s="10">
        <v>1400</v>
      </c>
      <c r="E23" s="53">
        <f>C23*D23</f>
        <v>63000</v>
      </c>
      <c r="G23" s="19"/>
    </row>
    <row r="24" spans="1:5" ht="15">
      <c r="A24" t="s">
        <v>127</v>
      </c>
      <c r="B24" t="s">
        <v>19</v>
      </c>
      <c r="C24" s="16">
        <v>45</v>
      </c>
      <c r="D24" s="10">
        <v>2000</v>
      </c>
      <c r="E24" s="53">
        <f>C24*D24</f>
        <v>90000</v>
      </c>
    </row>
    <row r="25" spans="1:5" ht="15.75" thickBot="1">
      <c r="A25" s="6" t="s">
        <v>29</v>
      </c>
      <c r="B25" s="6" t="s">
        <v>19</v>
      </c>
      <c r="C25" s="18">
        <v>45</v>
      </c>
      <c r="D25" s="11">
        <v>25000</v>
      </c>
      <c r="E25" s="42">
        <f>C25*D25</f>
        <v>1125000</v>
      </c>
    </row>
    <row r="26" spans="1:5" ht="16.5" thickTop="1">
      <c r="A26" s="2" t="s">
        <v>30</v>
      </c>
      <c r="C26" s="2"/>
      <c r="D26" s="10"/>
      <c r="E26" s="41">
        <f>SUM(E22:E25)</f>
        <v>2778000</v>
      </c>
    </row>
    <row r="27" spans="1:5" ht="15.75">
      <c r="A27" s="12"/>
      <c r="C27" s="2"/>
      <c r="D27" s="10"/>
      <c r="E27" s="10"/>
    </row>
    <row r="28" spans="1:5" ht="15.75">
      <c r="A28" s="12"/>
      <c r="C28" s="2"/>
      <c r="D28" s="10"/>
      <c r="E28" s="10"/>
    </row>
    <row r="29" spans="4:5" ht="15">
      <c r="D29" s="10"/>
      <c r="E29" s="10"/>
    </row>
    <row r="30" spans="1:5" ht="15.75">
      <c r="A30" s="2" t="s">
        <v>33</v>
      </c>
      <c r="B30" s="2" t="s">
        <v>16</v>
      </c>
      <c r="C30" s="2" t="s">
        <v>17</v>
      </c>
      <c r="D30" s="15" t="s">
        <v>11</v>
      </c>
      <c r="E30" s="15" t="s">
        <v>7</v>
      </c>
    </row>
    <row r="31" spans="4:5" ht="15">
      <c r="D31" s="10"/>
      <c r="E31" s="10"/>
    </row>
    <row r="32" spans="1:5" ht="15">
      <c r="A32" t="s">
        <v>128</v>
      </c>
      <c r="B32" t="s">
        <v>19</v>
      </c>
      <c r="C32">
        <v>1</v>
      </c>
      <c r="D32" s="39">
        <v>250000</v>
      </c>
      <c r="E32" s="53">
        <f>C32*D32</f>
        <v>250000</v>
      </c>
    </row>
    <row r="33" spans="1:5" ht="15">
      <c r="A33" t="s">
        <v>53</v>
      </c>
      <c r="B33" t="s">
        <v>19</v>
      </c>
      <c r="C33">
        <v>62</v>
      </c>
      <c r="D33" s="39">
        <v>14500</v>
      </c>
      <c r="E33" s="53">
        <f>C33*D33</f>
        <v>899000</v>
      </c>
    </row>
    <row r="34" spans="1:5" ht="15">
      <c r="A34" t="s">
        <v>63</v>
      </c>
      <c r="B34" t="s">
        <v>19</v>
      </c>
      <c r="C34">
        <v>1</v>
      </c>
      <c r="D34" s="39">
        <v>110000</v>
      </c>
      <c r="E34" s="53">
        <f>C34*D34</f>
        <v>110000</v>
      </c>
    </row>
    <row r="35" spans="1:5" ht="15">
      <c r="A35" t="s">
        <v>21</v>
      </c>
      <c r="B35" t="s">
        <v>19</v>
      </c>
      <c r="C35">
        <v>3</v>
      </c>
      <c r="D35" s="39">
        <v>7500</v>
      </c>
      <c r="E35" s="53">
        <f>C35*D35</f>
        <v>22500</v>
      </c>
    </row>
    <row r="36" spans="1:5" ht="15.75" thickBot="1">
      <c r="A36" s="6" t="s">
        <v>18</v>
      </c>
      <c r="B36" s="6" t="s">
        <v>19</v>
      </c>
      <c r="C36" s="6">
        <v>3</v>
      </c>
      <c r="D36" s="42">
        <v>5000</v>
      </c>
      <c r="E36" s="42">
        <f>C36*D36</f>
        <v>15000</v>
      </c>
    </row>
    <row r="37" spans="1:5" ht="16.5" thickTop="1">
      <c r="A37" s="2" t="s">
        <v>30</v>
      </c>
      <c r="D37" s="10"/>
      <c r="E37" s="54">
        <f>SUM(E31:E36)</f>
        <v>1296500</v>
      </c>
    </row>
    <row r="38" spans="3:5" ht="15.75">
      <c r="C38" s="2"/>
      <c r="D38" s="10"/>
      <c r="E38" s="39"/>
    </row>
    <row r="39" spans="1:5" ht="15.75">
      <c r="A39" s="2" t="s">
        <v>57</v>
      </c>
      <c r="C39" s="2"/>
      <c r="D39" s="10"/>
      <c r="E39" s="39"/>
    </row>
    <row r="40" spans="1:5" ht="15.75">
      <c r="A40" t="s">
        <v>35</v>
      </c>
      <c r="C40" s="2"/>
      <c r="D40" s="10"/>
      <c r="E40" s="41">
        <f>E15+E26+E37</f>
        <v>11352500</v>
      </c>
    </row>
    <row r="41" spans="3:5" ht="15.75">
      <c r="C41" s="2"/>
      <c r="D41" s="10"/>
      <c r="E41" s="39"/>
    </row>
    <row r="42" spans="1:5" ht="15.75">
      <c r="A42" t="s">
        <v>56</v>
      </c>
      <c r="B42" s="26">
        <v>0.15</v>
      </c>
      <c r="C42" s="2"/>
      <c r="D42" s="10"/>
      <c r="E42" s="39">
        <f>E40*B42</f>
        <v>1702875</v>
      </c>
    </row>
    <row r="43" spans="3:5" ht="15.75">
      <c r="C43" s="2"/>
      <c r="D43" s="10"/>
      <c r="E43" s="39"/>
    </row>
    <row r="44" spans="1:5" ht="15.75">
      <c r="A44" s="2" t="s">
        <v>34</v>
      </c>
      <c r="C44" s="2"/>
      <c r="D44" s="10"/>
      <c r="E44" s="41">
        <f>E40+E42</f>
        <v>13055375</v>
      </c>
    </row>
    <row r="45" spans="3:5" ht="15.75">
      <c r="C45" s="2"/>
      <c r="D45" s="10"/>
      <c r="E45" s="39"/>
    </row>
    <row r="46" spans="3:5" ht="15.75">
      <c r="C46" s="2"/>
      <c r="D46" s="10"/>
      <c r="E46" s="39"/>
    </row>
    <row r="47" spans="1:5" ht="15.75">
      <c r="A47" s="2" t="s">
        <v>31</v>
      </c>
      <c r="C47" s="2"/>
      <c r="D47" s="10"/>
      <c r="E47" s="39"/>
    </row>
    <row r="48" spans="1:5" ht="15">
      <c r="A48" t="s">
        <v>27</v>
      </c>
      <c r="B48" s="16" t="s">
        <v>19</v>
      </c>
      <c r="C48" s="23">
        <v>1</v>
      </c>
      <c r="D48" s="10">
        <v>1500000</v>
      </c>
      <c r="E48" s="39">
        <f>C48*D48</f>
        <v>1500000</v>
      </c>
    </row>
    <row r="49" spans="1:5" ht="15.75" thickBot="1">
      <c r="A49" s="6" t="s">
        <v>32</v>
      </c>
      <c r="B49" s="6" t="s">
        <v>19</v>
      </c>
      <c r="C49" s="6">
        <v>307</v>
      </c>
      <c r="D49" s="11">
        <v>2000</v>
      </c>
      <c r="E49" s="42">
        <f>C49*D49</f>
        <v>614000</v>
      </c>
    </row>
    <row r="50" spans="1:5" ht="16.5" thickTop="1">
      <c r="A50" s="2" t="s">
        <v>30</v>
      </c>
      <c r="D50" s="10"/>
      <c r="E50" s="41">
        <f>E48+E49</f>
        <v>2114000</v>
      </c>
    </row>
    <row r="51" spans="4:5" ht="15">
      <c r="D51" s="10"/>
      <c r="E51" s="39"/>
    </row>
    <row r="52" spans="4:5" ht="15">
      <c r="D52" s="10"/>
      <c r="E52" s="10"/>
    </row>
    <row r="53" spans="3:5" ht="15.75">
      <c r="C53" s="17"/>
      <c r="D53" s="15" t="s">
        <v>6</v>
      </c>
      <c r="E53" s="15" t="s">
        <v>7</v>
      </c>
    </row>
    <row r="54" spans="1:5" ht="15.75">
      <c r="A54" s="2" t="s">
        <v>58</v>
      </c>
      <c r="C54" s="26">
        <v>0.1</v>
      </c>
      <c r="D54" s="39">
        <f>E44</f>
        <v>13055375</v>
      </c>
      <c r="E54" s="41">
        <f>D54*C54</f>
        <v>1305537.5</v>
      </c>
    </row>
    <row r="55" spans="3:5" ht="15.75">
      <c r="C55" s="2"/>
      <c r="D55" s="39"/>
      <c r="E55" s="39"/>
    </row>
    <row r="56" spans="4:5" ht="15">
      <c r="D56" s="39"/>
      <c r="E56" s="39"/>
    </row>
    <row r="57" spans="1:5" ht="18">
      <c r="A57" s="1" t="s">
        <v>69</v>
      </c>
      <c r="D57" s="39"/>
      <c r="E57" s="55">
        <f>E44+E50+E54</f>
        <v>16474912.5</v>
      </c>
    </row>
    <row r="58" spans="1:5" ht="18">
      <c r="A58" s="1"/>
      <c r="D58" s="39"/>
      <c r="E58" s="49"/>
    </row>
    <row r="59" spans="1:5" ht="18">
      <c r="A59" s="1" t="s">
        <v>66</v>
      </c>
      <c r="C59" t="s">
        <v>67</v>
      </c>
      <c r="D59" s="10"/>
      <c r="E59" s="49">
        <v>5000000</v>
      </c>
    </row>
    <row r="60" spans="4:5" ht="15">
      <c r="D60" s="10"/>
      <c r="E60" s="39"/>
    </row>
    <row r="61" spans="1:5" ht="18">
      <c r="A61" s="1" t="s">
        <v>68</v>
      </c>
      <c r="D61" s="10"/>
      <c r="E61" s="49">
        <f>E57+E59</f>
        <v>21474912.5</v>
      </c>
    </row>
    <row r="62" spans="4:5" ht="15">
      <c r="D62" s="10"/>
      <c r="E62" s="10"/>
    </row>
    <row r="63" spans="4:5" ht="15">
      <c r="D63" s="10"/>
      <c r="E63" s="10"/>
    </row>
    <row r="64" spans="1:5" s="1" customFormat="1" ht="18">
      <c r="A64" s="1" t="s">
        <v>0</v>
      </c>
      <c r="D64" s="50"/>
      <c r="E64" s="50"/>
    </row>
    <row r="65" spans="3:9" s="1" customFormat="1" ht="18">
      <c r="C65" s="2"/>
      <c r="D65" s="15" t="s">
        <v>6</v>
      </c>
      <c r="E65" s="51" t="s">
        <v>7</v>
      </c>
      <c r="G65" s="5"/>
      <c r="H65" s="5"/>
      <c r="I65" s="5"/>
    </row>
    <row r="66" spans="1:5" ht="15.75">
      <c r="A66" s="2" t="s">
        <v>8</v>
      </c>
      <c r="B66" s="2"/>
      <c r="D66" s="10"/>
      <c r="E66" s="10"/>
    </row>
    <row r="67" spans="1:7" ht="15.75">
      <c r="A67" t="s">
        <v>1</v>
      </c>
      <c r="D67" s="39">
        <v>175000</v>
      </c>
      <c r="E67" s="39">
        <f>D67+C67</f>
        <v>175000</v>
      </c>
      <c r="G67" s="3"/>
    </row>
    <row r="68" spans="1:7" ht="15.75">
      <c r="A68" t="s">
        <v>2</v>
      </c>
      <c r="D68" s="39">
        <v>175000</v>
      </c>
      <c r="E68" s="39">
        <f>D68+C68</f>
        <v>175000</v>
      </c>
      <c r="G68" s="3"/>
    </row>
    <row r="69" spans="1:7" ht="15.75">
      <c r="A69" t="s">
        <v>3</v>
      </c>
      <c r="D69" s="39">
        <v>175000</v>
      </c>
      <c r="E69" s="39">
        <f>D69+C69</f>
        <v>175000</v>
      </c>
      <c r="G69" s="3"/>
    </row>
    <row r="70" spans="1:7" ht="15.75">
      <c r="A70" s="8" t="s">
        <v>4</v>
      </c>
      <c r="B70" s="8"/>
      <c r="C70" s="8"/>
      <c r="D70" s="53">
        <v>175000</v>
      </c>
      <c r="E70" s="53">
        <f>D70+C70</f>
        <v>175000</v>
      </c>
      <c r="G70" s="3"/>
    </row>
    <row r="71" spans="1:5" ht="15.75" thickBot="1">
      <c r="A71" s="6" t="s">
        <v>5</v>
      </c>
      <c r="B71" s="6"/>
      <c r="C71" s="6"/>
      <c r="D71" s="62">
        <v>175000</v>
      </c>
      <c r="E71" s="62">
        <f>D71+C71</f>
        <v>175000</v>
      </c>
    </row>
    <row r="72" spans="1:7" ht="16.5" thickTop="1">
      <c r="A72" s="3"/>
      <c r="B72" s="3"/>
      <c r="C72" s="4"/>
      <c r="D72" s="56"/>
      <c r="E72" s="39">
        <f>SUM(E67:E71)</f>
        <v>875000</v>
      </c>
      <c r="G72" s="3"/>
    </row>
    <row r="73" spans="1:5" ht="15.75">
      <c r="A73" s="3"/>
      <c r="B73" s="3"/>
      <c r="C73" s="4"/>
      <c r="D73" s="52"/>
      <c r="E73" s="52"/>
    </row>
    <row r="74" spans="1:5" ht="15.75">
      <c r="A74" s="2" t="s">
        <v>9</v>
      </c>
      <c r="B74" s="2"/>
      <c r="D74" s="10"/>
      <c r="E74" s="10"/>
    </row>
    <row r="75" spans="1:7" ht="15.75">
      <c r="A75" t="s">
        <v>26</v>
      </c>
      <c r="B75" s="3"/>
      <c r="D75" s="39">
        <v>750000</v>
      </c>
      <c r="E75" s="39">
        <f>D75+C75</f>
        <v>750000</v>
      </c>
      <c r="G75" s="3"/>
    </row>
    <row r="76" spans="1:7" ht="16.5" thickBot="1">
      <c r="A76" s="6" t="s">
        <v>65</v>
      </c>
      <c r="B76" s="13"/>
      <c r="C76" s="14"/>
      <c r="D76" s="42">
        <v>750000</v>
      </c>
      <c r="E76" s="39">
        <f>D76+C76</f>
        <v>750000</v>
      </c>
      <c r="G76" s="3"/>
    </row>
    <row r="77" spans="1:5" ht="16.5" thickTop="1">
      <c r="A77" s="3"/>
      <c r="B77" s="3"/>
      <c r="D77" s="39"/>
      <c r="E77" s="57">
        <f>SUM(E75:E76)</f>
        <v>1500000</v>
      </c>
    </row>
    <row r="78" spans="1:5" ht="15.75">
      <c r="A78" s="3"/>
      <c r="B78" s="3"/>
      <c r="C78" s="35"/>
      <c r="D78" s="39"/>
      <c r="E78" s="39"/>
    </row>
    <row r="79" spans="1:5" ht="15.75">
      <c r="A79" s="2" t="s">
        <v>93</v>
      </c>
      <c r="B79" s="2"/>
      <c r="D79" s="39"/>
      <c r="E79" s="45">
        <f>E72+E77</f>
        <v>2375000</v>
      </c>
    </row>
    <row r="80" spans="1:5" ht="16.5" thickBot="1">
      <c r="A80" s="16" t="s">
        <v>92</v>
      </c>
      <c r="B80" s="2"/>
      <c r="D80" s="39"/>
      <c r="E80" s="46">
        <f>E79*0.15</f>
        <v>356250</v>
      </c>
    </row>
    <row r="81" spans="1:5" ht="15.75">
      <c r="A81" s="2" t="s">
        <v>82</v>
      </c>
      <c r="B81" s="2"/>
      <c r="D81" s="39"/>
      <c r="E81" s="41">
        <f>SUM(E79:E80)</f>
        <v>2731250</v>
      </c>
    </row>
    <row r="82" spans="1:5" ht="15.75">
      <c r="A82" s="2"/>
      <c r="B82" s="2"/>
      <c r="D82" s="39"/>
      <c r="E82" s="41"/>
    </row>
    <row r="83" spans="1:5" ht="15.75">
      <c r="A83" s="2" t="s">
        <v>31</v>
      </c>
      <c r="B83" s="2"/>
      <c r="D83" s="39"/>
      <c r="E83" s="41"/>
    </row>
    <row r="84" spans="1:5" ht="15.75">
      <c r="A84" t="s">
        <v>84</v>
      </c>
      <c r="B84" s="2"/>
      <c r="D84" s="39"/>
      <c r="E84" s="45">
        <v>275000</v>
      </c>
    </row>
    <row r="85" spans="1:5" ht="16.5" thickBot="1">
      <c r="A85" t="s">
        <v>94</v>
      </c>
      <c r="B85" s="2"/>
      <c r="D85" s="10"/>
      <c r="E85" s="46">
        <f>E81*0.1</f>
        <v>273125</v>
      </c>
    </row>
    <row r="86" spans="2:5" ht="15.75">
      <c r="B86" s="2"/>
      <c r="D86" s="10"/>
      <c r="E86" s="41">
        <f>SUM(E84:E85)</f>
        <v>548125</v>
      </c>
    </row>
    <row r="87" spans="1:5" ht="15.75">
      <c r="A87" s="37"/>
      <c r="B87" s="8"/>
      <c r="C87" s="38"/>
      <c r="D87" s="53"/>
      <c r="E87" s="58"/>
    </row>
    <row r="88" spans="1:5" ht="15.75">
      <c r="A88" s="2" t="s">
        <v>54</v>
      </c>
      <c r="B88" s="3"/>
      <c r="D88" s="39"/>
      <c r="E88" s="41">
        <f>E81+E86</f>
        <v>3279375</v>
      </c>
    </row>
    <row r="89" spans="1:5" ht="15.75">
      <c r="A89" s="3"/>
      <c r="B89" s="3"/>
      <c r="D89" s="39"/>
      <c r="E89" s="39"/>
    </row>
    <row r="90" spans="1:5" ht="15.75">
      <c r="A90" s="2"/>
      <c r="B90" s="3"/>
      <c r="D90" s="39"/>
      <c r="E90" s="41"/>
    </row>
    <row r="91" spans="1:5" ht="20.25">
      <c r="A91" s="25" t="s">
        <v>125</v>
      </c>
      <c r="B91" s="3"/>
      <c r="D91" s="39"/>
      <c r="E91" s="79">
        <f>E57+E88</f>
        <v>19754287.5</v>
      </c>
    </row>
    <row r="92" spans="2:5" ht="18">
      <c r="B92" s="3"/>
      <c r="D92" s="39"/>
      <c r="E92" s="49"/>
    </row>
    <row r="93" spans="1:5" ht="15.75">
      <c r="A93" s="3"/>
      <c r="B93" s="3"/>
      <c r="D93" s="39"/>
      <c r="E93" s="39"/>
    </row>
    <row r="94" spans="1:5" ht="15.75">
      <c r="A94" s="3"/>
      <c r="B94" s="3"/>
      <c r="D94" s="39"/>
      <c r="E94" s="39"/>
    </row>
    <row r="95" spans="1:5" ht="16.5" thickBot="1">
      <c r="A95" s="3"/>
      <c r="B95" s="3"/>
      <c r="D95" s="39"/>
      <c r="E95" s="39"/>
    </row>
    <row r="96" spans="1:5" ht="15.75">
      <c r="A96" s="27"/>
      <c r="B96" s="28"/>
      <c r="C96" s="29"/>
      <c r="D96" s="59"/>
      <c r="E96" s="60"/>
    </row>
    <row r="97" spans="1:5" s="24" customFormat="1" ht="21">
      <c r="A97" s="30" t="s">
        <v>36</v>
      </c>
      <c r="B97" s="31"/>
      <c r="C97" s="32"/>
      <c r="D97" s="61"/>
      <c r="E97" s="80">
        <f>ROUND(E91,-3)</f>
        <v>19754000</v>
      </c>
    </row>
    <row r="98" spans="1:5" ht="16.5" thickBot="1">
      <c r="A98" s="33"/>
      <c r="B98" s="34"/>
      <c r="C98" s="21"/>
      <c r="D98" s="47"/>
      <c r="E98" s="48"/>
    </row>
    <row r="99" spans="1:2" ht="15.75">
      <c r="A99" s="3"/>
      <c r="B99" s="3"/>
    </row>
    <row r="101" spans="1:2" ht="15.75">
      <c r="A101" s="3"/>
      <c r="B101" s="3"/>
    </row>
    <row r="102" spans="1:2" ht="15.75">
      <c r="A102" s="3"/>
      <c r="B102" s="3"/>
    </row>
    <row r="103" spans="2:5" ht="15.75">
      <c r="B103" s="3"/>
      <c r="E103" s="15"/>
    </row>
    <row r="110" ht="18">
      <c r="A110" s="1"/>
    </row>
  </sheetData>
  <sheetProtection/>
  <printOptions/>
  <pageMargins left="0.7" right="0.7" top="0.75" bottom="0.75" header="0.3" footer="0.3"/>
  <pageSetup horizontalDpi="600" verticalDpi="600" orientation="landscape" paperSize="5" scale="80" r:id="rId1"/>
  <headerFooter>
    <oddHeader>&amp;C&amp;"Arial,Bold"&amp;16TIGER GRANT CONGESTION MANAGEMENT ESTIMATE</oddHeader>
    <oddFooter>&amp;CPage &amp;P of &amp;N&amp;RPrinted &amp;D</oddFooter>
  </headerFooter>
  <rowBreaks count="2" manualBreakCount="2">
    <brk id="28" max="255" man="1"/>
    <brk id="6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C21" sqref="C21"/>
    </sheetView>
  </sheetViews>
  <sheetFormatPr defaultColWidth="8.88671875" defaultRowHeight="15"/>
  <cols>
    <col min="1" max="1" width="26.4453125" style="0" customWidth="1"/>
    <col min="4" max="4" width="11.21484375" style="0" customWidth="1"/>
    <col min="5" max="5" width="13.3359375" style="0" customWidth="1"/>
  </cols>
  <sheetData>
    <row r="1" ht="18">
      <c r="A1" s="1" t="s">
        <v>37</v>
      </c>
    </row>
    <row r="3" ht="15.75">
      <c r="A3" s="2" t="s">
        <v>38</v>
      </c>
    </row>
    <row r="5" spans="2:5" ht="15.75">
      <c r="B5" s="36" t="s">
        <v>16</v>
      </c>
      <c r="C5" s="36" t="s">
        <v>17</v>
      </c>
      <c r="D5" s="36" t="s">
        <v>42</v>
      </c>
      <c r="E5" s="36" t="s">
        <v>7</v>
      </c>
    </row>
    <row r="6" spans="1:5" ht="15.75">
      <c r="A6" t="s">
        <v>39</v>
      </c>
      <c r="B6" s="2"/>
      <c r="C6" s="2"/>
      <c r="D6" s="2"/>
      <c r="E6" s="2"/>
    </row>
    <row r="7" spans="1:5" ht="15">
      <c r="A7" t="s">
        <v>40</v>
      </c>
      <c r="B7" t="s">
        <v>41</v>
      </c>
      <c r="C7">
        <v>14</v>
      </c>
      <c r="D7" s="10">
        <v>50000</v>
      </c>
      <c r="E7" s="10">
        <f>C7*D7</f>
        <v>700000</v>
      </c>
    </row>
    <row r="8" ht="15">
      <c r="D8" s="10"/>
    </row>
    <row r="9" spans="1:4" ht="15">
      <c r="A9" t="s">
        <v>43</v>
      </c>
      <c r="D9" s="10"/>
    </row>
    <row r="10" spans="1:5" ht="15">
      <c r="A10" t="s">
        <v>44</v>
      </c>
      <c r="B10" t="s">
        <v>19</v>
      </c>
      <c r="C10">
        <v>5</v>
      </c>
      <c r="D10" s="10">
        <v>500000</v>
      </c>
      <c r="E10" s="10">
        <f>C10*D10</f>
        <v>2500000</v>
      </c>
    </row>
    <row r="11" spans="4:5" ht="15">
      <c r="D11" s="10"/>
      <c r="E11" s="10"/>
    </row>
    <row r="12" spans="1:5" ht="15">
      <c r="A12" t="s">
        <v>60</v>
      </c>
      <c r="D12" s="10"/>
      <c r="E12" s="10"/>
    </row>
    <row r="13" spans="1:5" ht="15">
      <c r="A13" t="s">
        <v>61</v>
      </c>
      <c r="B13" t="s">
        <v>62</v>
      </c>
      <c r="C13">
        <v>70</v>
      </c>
      <c r="D13" s="10">
        <v>4500</v>
      </c>
      <c r="E13" s="10">
        <f>C13*D13</f>
        <v>315000</v>
      </c>
    </row>
    <row r="15" ht="15">
      <c r="A15" t="s">
        <v>45</v>
      </c>
    </row>
    <row r="16" spans="1:5" ht="15.75" thickBot="1">
      <c r="A16" s="6" t="s">
        <v>46</v>
      </c>
      <c r="B16" s="6" t="s">
        <v>19</v>
      </c>
      <c r="C16" s="6">
        <v>1</v>
      </c>
      <c r="D16" s="11">
        <v>75000</v>
      </c>
      <c r="E16" s="11">
        <f>C16*D16</f>
        <v>75000</v>
      </c>
    </row>
    <row r="17" ht="15.75" thickTop="1"/>
    <row r="19" spans="1:5" ht="15.75">
      <c r="A19" s="2" t="s">
        <v>13</v>
      </c>
      <c r="E19" s="15">
        <f>SUM(E7:E18)</f>
        <v>3590000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view="pageBreakPreview" zoomScaleSheetLayoutView="100" zoomScalePageLayoutView="0" workbookViewId="0" topLeftCell="A1">
      <selection activeCell="F6" sqref="F6"/>
    </sheetView>
  </sheetViews>
  <sheetFormatPr defaultColWidth="8.88671875" defaultRowHeight="15"/>
  <cols>
    <col min="1" max="1" width="29.3359375" style="0" customWidth="1"/>
    <col min="2" max="2" width="8.99609375" style="0" customWidth="1"/>
    <col min="3" max="4" width="7.21484375" style="0" bestFit="1" customWidth="1"/>
    <col min="5" max="5" width="13.5546875" style="0" bestFit="1" customWidth="1"/>
    <col min="6" max="6" width="14.5546875" style="0" bestFit="1" customWidth="1"/>
    <col min="7" max="7" width="7.10546875" style="0" customWidth="1"/>
  </cols>
  <sheetData>
    <row r="1" ht="18">
      <c r="A1" s="63" t="s">
        <v>124</v>
      </c>
    </row>
    <row r="3" spans="1:6" ht="15.75">
      <c r="A3" s="65" t="s">
        <v>102</v>
      </c>
      <c r="B3" s="66"/>
      <c r="C3" s="67" t="s">
        <v>16</v>
      </c>
      <c r="D3" s="67" t="s">
        <v>101</v>
      </c>
      <c r="E3" s="67" t="s">
        <v>103</v>
      </c>
      <c r="F3" s="67" t="s">
        <v>7</v>
      </c>
    </row>
    <row r="4" spans="1:6" ht="15">
      <c r="A4" s="68" t="s">
        <v>104</v>
      </c>
      <c r="B4" s="69">
        <f>+'[1]Support Sheet'!E7</f>
        <v>37900</v>
      </c>
      <c r="C4" s="68"/>
      <c r="D4" s="68"/>
      <c r="E4" s="68"/>
      <c r="F4" s="68"/>
    </row>
    <row r="5" spans="1:6" ht="15">
      <c r="A5" s="68"/>
      <c r="B5" s="68"/>
      <c r="C5" s="68"/>
      <c r="D5" s="68"/>
      <c r="E5" s="68"/>
      <c r="F5" s="68"/>
    </row>
    <row r="6" spans="1:6" ht="15">
      <c r="A6" s="68" t="s">
        <v>105</v>
      </c>
      <c r="B6" s="68"/>
      <c r="C6" s="68" t="s">
        <v>106</v>
      </c>
      <c r="D6" s="68">
        <v>1</v>
      </c>
      <c r="E6" s="70">
        <f>+'[1]Support Sheet'!E11+'[1]Support Sheet'!E12</f>
        <v>5583333</v>
      </c>
      <c r="F6" s="70">
        <f>+ROUND(E6*D6,-4)</f>
        <v>5580000</v>
      </c>
    </row>
    <row r="7" spans="1:6" ht="15">
      <c r="A7" s="68" t="s">
        <v>99</v>
      </c>
      <c r="B7" s="68"/>
      <c r="C7" s="68" t="s">
        <v>106</v>
      </c>
      <c r="D7" s="68">
        <v>1</v>
      </c>
      <c r="E7" s="70">
        <f>+'[1]Support Sheet'!E33</f>
        <v>150000</v>
      </c>
      <c r="F7" s="70">
        <f aca="true" t="shared" si="0" ref="F7:F18">+ROUND(E7*D7,-4)</f>
        <v>150000</v>
      </c>
    </row>
    <row r="8" spans="1:6" ht="15">
      <c r="A8" s="68" t="s">
        <v>107</v>
      </c>
      <c r="B8" s="68"/>
      <c r="C8" s="68" t="s">
        <v>19</v>
      </c>
      <c r="D8" s="69">
        <v>25267</v>
      </c>
      <c r="E8" s="70">
        <f>+'[1]Support Sheet'!J70+'[1]Support Sheet'!J79</f>
        <v>57.44</v>
      </c>
      <c r="F8" s="70">
        <f t="shared" si="0"/>
        <v>1450000</v>
      </c>
    </row>
    <row r="9" spans="1:6" ht="15">
      <c r="A9" s="68" t="s">
        <v>108</v>
      </c>
      <c r="B9" s="68"/>
      <c r="C9" s="68" t="s">
        <v>109</v>
      </c>
      <c r="D9" s="69">
        <v>49840</v>
      </c>
      <c r="E9" s="70">
        <f>+('[1]Support Sheet'!K88+'[1]Support Sheet'!K96)*2</f>
        <v>59.92</v>
      </c>
      <c r="F9" s="70">
        <f t="shared" si="0"/>
        <v>2990000</v>
      </c>
    </row>
    <row r="10" spans="1:7" ht="15">
      <c r="A10" s="68" t="s">
        <v>110</v>
      </c>
      <c r="B10" s="68"/>
      <c r="C10" s="68" t="s">
        <v>111</v>
      </c>
      <c r="D10" s="69">
        <v>7800</v>
      </c>
      <c r="E10" s="70">
        <f>+'[1]Support Sheet'!AC96</f>
        <v>8.5</v>
      </c>
      <c r="F10" s="70">
        <f t="shared" si="0"/>
        <v>70000</v>
      </c>
      <c r="G10" s="64"/>
    </row>
    <row r="11" spans="1:7" ht="15">
      <c r="A11" s="68" t="s">
        <v>112</v>
      </c>
      <c r="B11" s="68"/>
      <c r="C11" s="68" t="s">
        <v>19</v>
      </c>
      <c r="D11" s="69">
        <v>66453</v>
      </c>
      <c r="E11" s="70">
        <v>8.6</v>
      </c>
      <c r="F11" s="70">
        <f t="shared" si="0"/>
        <v>570000</v>
      </c>
      <c r="G11" s="64"/>
    </row>
    <row r="12" spans="1:7" ht="15">
      <c r="A12" s="68" t="s">
        <v>100</v>
      </c>
      <c r="B12" s="68"/>
      <c r="C12" s="68" t="s">
        <v>19</v>
      </c>
      <c r="D12" s="69">
        <v>43787</v>
      </c>
      <c r="E12" s="70">
        <f>+'[1]Support Sheet'!J126</f>
        <v>1.9</v>
      </c>
      <c r="F12" s="70">
        <f t="shared" si="0"/>
        <v>80000</v>
      </c>
      <c r="G12" s="64"/>
    </row>
    <row r="13" spans="1:6" ht="15">
      <c r="A13" s="68" t="s">
        <v>113</v>
      </c>
      <c r="B13" s="68"/>
      <c r="C13" s="68" t="s">
        <v>114</v>
      </c>
      <c r="D13" s="68">
        <v>16260</v>
      </c>
      <c r="E13" s="70">
        <f>+'[1]Support Sheet'!C115</f>
        <v>5.65</v>
      </c>
      <c r="F13" s="70">
        <f t="shared" si="0"/>
        <v>90000</v>
      </c>
    </row>
    <row r="14" spans="1:6" ht="15">
      <c r="A14" s="68" t="s">
        <v>115</v>
      </c>
      <c r="B14" s="68"/>
      <c r="C14" s="68" t="s">
        <v>19</v>
      </c>
      <c r="D14" s="68">
        <v>15</v>
      </c>
      <c r="E14" s="70">
        <f>+'[1]Support Sheet'!C106+'[1]Support Sheet'!C110</f>
        <v>34420</v>
      </c>
      <c r="F14" s="70">
        <f t="shared" si="0"/>
        <v>520000</v>
      </c>
    </row>
    <row r="15" spans="1:7" ht="15">
      <c r="A15" s="68" t="s">
        <v>116</v>
      </c>
      <c r="B15" s="68"/>
      <c r="C15" s="68" t="s">
        <v>19</v>
      </c>
      <c r="D15" s="68">
        <v>5</v>
      </c>
      <c r="E15" s="70">
        <v>6765</v>
      </c>
      <c r="F15" s="70">
        <f t="shared" si="0"/>
        <v>30000</v>
      </c>
      <c r="G15" s="64"/>
    </row>
    <row r="16" spans="1:6" ht="15">
      <c r="A16" s="68" t="s">
        <v>117</v>
      </c>
      <c r="B16" s="68"/>
      <c r="C16" s="68" t="s">
        <v>118</v>
      </c>
      <c r="D16" s="69">
        <v>62914</v>
      </c>
      <c r="E16" s="70">
        <v>18</v>
      </c>
      <c r="F16" s="70">
        <f t="shared" si="0"/>
        <v>1130000</v>
      </c>
    </row>
    <row r="17" spans="1:6" ht="15">
      <c r="A17" s="68" t="s">
        <v>119</v>
      </c>
      <c r="B17" s="68"/>
      <c r="C17" s="68" t="s">
        <v>109</v>
      </c>
      <c r="D17" s="69">
        <v>37900</v>
      </c>
      <c r="E17" s="70">
        <v>2.4</v>
      </c>
      <c r="F17" s="70">
        <f t="shared" si="0"/>
        <v>90000</v>
      </c>
    </row>
    <row r="18" spans="1:6" ht="15">
      <c r="A18" s="68" t="s">
        <v>120</v>
      </c>
      <c r="B18" s="68"/>
      <c r="C18" s="68" t="s">
        <v>19</v>
      </c>
      <c r="D18" s="69">
        <v>18</v>
      </c>
      <c r="E18" s="70">
        <v>1450</v>
      </c>
      <c r="F18" s="70">
        <f t="shared" si="0"/>
        <v>30000</v>
      </c>
    </row>
    <row r="19" spans="1:7" ht="15">
      <c r="A19" s="68"/>
      <c r="B19" s="68"/>
      <c r="C19" s="68"/>
      <c r="D19" s="68"/>
      <c r="E19" s="70"/>
      <c r="F19" s="70">
        <f>SUM(F6:F18)</f>
        <v>12780000</v>
      </c>
      <c r="G19" s="64"/>
    </row>
    <row r="20" spans="1:7" ht="15">
      <c r="A20" s="68" t="s">
        <v>83</v>
      </c>
      <c r="B20" s="68"/>
      <c r="C20" s="71">
        <v>0.05</v>
      </c>
      <c r="D20" s="68"/>
      <c r="E20" s="70"/>
      <c r="F20" s="70">
        <f>+ROUND(F19*C20,-4)</f>
        <v>640000</v>
      </c>
      <c r="G20" s="64"/>
    </row>
    <row r="21" spans="1:7" ht="15">
      <c r="A21" s="68"/>
      <c r="B21" s="68"/>
      <c r="C21" s="71"/>
      <c r="D21" s="68"/>
      <c r="E21" s="70"/>
      <c r="F21" s="70">
        <f>+F20+F19</f>
        <v>13420000</v>
      </c>
      <c r="G21" s="64"/>
    </row>
    <row r="22" spans="1:7" ht="15">
      <c r="A22" s="68"/>
      <c r="B22" s="68"/>
      <c r="C22" s="71"/>
      <c r="D22" s="68"/>
      <c r="E22" s="70"/>
      <c r="F22" s="70"/>
      <c r="G22" s="64"/>
    </row>
    <row r="23" spans="1:6" ht="15">
      <c r="A23" s="68" t="s">
        <v>121</v>
      </c>
      <c r="B23" s="68"/>
      <c r="C23" s="68" t="s">
        <v>106</v>
      </c>
      <c r="D23" s="68">
        <v>1</v>
      </c>
      <c r="E23" s="70">
        <v>350000</v>
      </c>
      <c r="F23" s="70">
        <f>+E23*D23</f>
        <v>350000</v>
      </c>
    </row>
    <row r="24" spans="1:6" ht="15">
      <c r="A24" s="68" t="s">
        <v>97</v>
      </c>
      <c r="B24" s="68"/>
      <c r="C24" s="68"/>
      <c r="D24" s="68"/>
      <c r="E24" s="70"/>
      <c r="F24" s="70">
        <f>+F23+F21</f>
        <v>13770000</v>
      </c>
    </row>
    <row r="25" spans="1:6" ht="15">
      <c r="A25" s="68"/>
      <c r="B25" s="68"/>
      <c r="C25" s="68"/>
      <c r="D25" s="68"/>
      <c r="E25" s="70"/>
      <c r="F25" s="70"/>
    </row>
    <row r="26" spans="1:6" ht="15">
      <c r="A26" s="68" t="s">
        <v>98</v>
      </c>
      <c r="B26" s="68"/>
      <c r="C26" s="71">
        <v>0.1</v>
      </c>
      <c r="D26" s="68"/>
      <c r="E26" s="70"/>
      <c r="F26" s="70">
        <f>+ROUND(F24*C26,-4)</f>
        <v>1380000</v>
      </c>
    </row>
    <row r="27" spans="1:6" ht="15">
      <c r="A27" s="68"/>
      <c r="B27" s="68"/>
      <c r="C27" s="68"/>
      <c r="D27" s="68"/>
      <c r="E27" s="70"/>
      <c r="F27" s="70">
        <f>+F26+F24</f>
        <v>15150000</v>
      </c>
    </row>
    <row r="28" spans="1:6" ht="15">
      <c r="A28" s="68"/>
      <c r="B28" s="68"/>
      <c r="C28" s="68"/>
      <c r="D28" s="68"/>
      <c r="E28" s="70"/>
      <c r="F28" s="70"/>
    </row>
    <row r="29" spans="1:6" ht="30.75" thickBot="1">
      <c r="A29" s="74" t="s">
        <v>122</v>
      </c>
      <c r="B29" s="75"/>
      <c r="C29" s="75" t="s">
        <v>106</v>
      </c>
      <c r="D29" s="75">
        <v>1</v>
      </c>
      <c r="E29" s="76">
        <v>1500000</v>
      </c>
      <c r="F29" s="76">
        <f>+E29*D29</f>
        <v>1500000</v>
      </c>
    </row>
    <row r="30" spans="1:6" ht="15">
      <c r="A30" s="72"/>
      <c r="B30" s="72"/>
      <c r="C30" s="72"/>
      <c r="D30" s="72"/>
      <c r="E30" s="73"/>
      <c r="F30" s="73"/>
    </row>
    <row r="31" spans="1:6" ht="15.75">
      <c r="A31" s="77" t="s">
        <v>123</v>
      </c>
      <c r="B31" s="68"/>
      <c r="C31" s="68"/>
      <c r="D31" s="68"/>
      <c r="E31" s="70"/>
      <c r="F31" s="78">
        <f>+F29+F27</f>
        <v>16650000</v>
      </c>
    </row>
    <row r="32" spans="5:6" ht="15">
      <c r="E32" s="64"/>
      <c r="F32" s="64"/>
    </row>
  </sheetData>
  <sheetProtection/>
  <printOptions/>
  <pageMargins left="0.7" right="0.7" top="0.75" bottom="0.75" header="0.3" footer="0.3"/>
  <pageSetup horizontalDpi="600" verticalDpi="600" orientation="portrait" scale="93" r:id="rId1"/>
  <headerFooter>
    <oddFooter>&amp;C&amp;"Arial,Bold"Page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F75"/>
  <sheetViews>
    <sheetView zoomScalePageLayoutView="0" workbookViewId="0" topLeftCell="A43">
      <selection activeCell="B61" sqref="B46:E61"/>
    </sheetView>
  </sheetViews>
  <sheetFormatPr defaultColWidth="8.88671875" defaultRowHeight="15"/>
  <cols>
    <col min="2" max="2" width="37.6640625" style="0" customWidth="1"/>
    <col min="3" max="3" width="4.4453125" style="0" bestFit="1" customWidth="1"/>
    <col min="4" max="4" width="6.88671875" style="0" customWidth="1"/>
    <col min="5" max="5" width="12.3359375" style="0" customWidth="1"/>
    <col min="6" max="6" width="9.88671875" style="0" bestFit="1" customWidth="1"/>
    <col min="7" max="7" width="1.99609375" style="0" bestFit="1" customWidth="1"/>
  </cols>
  <sheetData>
    <row r="2" ht="15.75">
      <c r="B2" s="2" t="str">
        <f>'Congestion Management'!A5</f>
        <v>INTERSECTION EQUIPMENT UPGRADE </v>
      </c>
    </row>
    <row r="3" spans="3:6" s="17" customFormat="1" ht="31.5">
      <c r="C3" s="85" t="s">
        <v>16</v>
      </c>
      <c r="D3" s="85" t="s">
        <v>17</v>
      </c>
      <c r="E3" s="85" t="s">
        <v>126</v>
      </c>
      <c r="F3" s="85" t="s">
        <v>7</v>
      </c>
    </row>
    <row r="4" spans="2:6" ht="30">
      <c r="B4" s="81" t="s">
        <v>70</v>
      </c>
      <c r="C4" t="str">
        <f>'Congestion Management'!B6</f>
        <v>ea</v>
      </c>
      <c r="D4">
        <f>'Congestion Management'!C6</f>
        <v>14</v>
      </c>
      <c r="E4" s="39">
        <f>'Congestion Management'!D6</f>
        <v>20000</v>
      </c>
      <c r="F4" s="39">
        <f>'Congestion Management'!E6</f>
        <v>280000</v>
      </c>
    </row>
    <row r="5" spans="2:6" ht="15">
      <c r="B5" s="81" t="s">
        <v>71</v>
      </c>
      <c r="C5" t="str">
        <f>'Congestion Management'!B7</f>
        <v>ea</v>
      </c>
      <c r="D5">
        <f>'Congestion Management'!C7</f>
        <v>14</v>
      </c>
      <c r="E5" s="39">
        <f>'Congestion Management'!D7</f>
        <v>17000</v>
      </c>
      <c r="F5" s="39">
        <f>'Congestion Management'!E7</f>
        <v>238000</v>
      </c>
    </row>
    <row r="6" spans="2:6" ht="15">
      <c r="B6" s="81" t="s">
        <v>72</v>
      </c>
      <c r="C6" t="str">
        <f>'Congestion Management'!B8</f>
        <v>ea</v>
      </c>
      <c r="D6">
        <f>'Congestion Management'!C8</f>
        <v>200</v>
      </c>
      <c r="E6" s="39">
        <f>'Congestion Management'!D8</f>
        <v>8000</v>
      </c>
      <c r="F6" s="39">
        <f>'Congestion Management'!E8</f>
        <v>1600000</v>
      </c>
    </row>
    <row r="7" spans="2:6" ht="30">
      <c r="B7" s="81" t="s">
        <v>73</v>
      </c>
      <c r="C7" t="str">
        <f>'Congestion Management'!B9</f>
        <v>ea</v>
      </c>
      <c r="D7">
        <f>'Congestion Management'!C9</f>
        <v>62</v>
      </c>
      <c r="E7" s="39">
        <f>'Congestion Management'!D9</f>
        <v>25000</v>
      </c>
      <c r="F7" s="39">
        <f>'Congestion Management'!E9</f>
        <v>1550000</v>
      </c>
    </row>
    <row r="8" spans="2:6" ht="15">
      <c r="B8" s="81" t="s">
        <v>74</v>
      </c>
      <c r="C8" t="str">
        <f>'Congestion Management'!B10</f>
        <v>ea</v>
      </c>
      <c r="D8">
        <f>'Congestion Management'!C10</f>
        <v>228</v>
      </c>
      <c r="E8" s="39">
        <f>'Congestion Management'!D10</f>
        <v>7500</v>
      </c>
      <c r="F8" s="39">
        <f>'Congestion Management'!E10</f>
        <v>1710000</v>
      </c>
    </row>
    <row r="9" spans="2:6" ht="30">
      <c r="B9" s="82" t="s">
        <v>75</v>
      </c>
      <c r="C9" t="str">
        <f>'Congestion Management'!B11</f>
        <v>ea</v>
      </c>
      <c r="D9">
        <f>'Congestion Management'!C11</f>
        <v>25</v>
      </c>
      <c r="E9" s="39">
        <f>'Congestion Management'!D11</f>
        <v>30000</v>
      </c>
      <c r="F9" s="39">
        <f>'Congestion Management'!E11</f>
        <v>750000</v>
      </c>
    </row>
    <row r="10" spans="2:6" ht="30">
      <c r="B10" s="82" t="s">
        <v>76</v>
      </c>
      <c r="C10" t="str">
        <f>'Congestion Management'!B12</f>
        <v>ea</v>
      </c>
      <c r="D10">
        <f>'Congestion Management'!C12</f>
        <v>10</v>
      </c>
      <c r="E10" s="39">
        <f>'Congestion Management'!D12</f>
        <v>50000</v>
      </c>
      <c r="F10" s="39">
        <f>'Congestion Management'!E12</f>
        <v>500000</v>
      </c>
    </row>
    <row r="11" spans="2:6" ht="30">
      <c r="B11" s="83" t="s">
        <v>77</v>
      </c>
      <c r="C11" t="str">
        <f>'Congestion Management'!B13</f>
        <v>ea</v>
      </c>
      <c r="D11">
        <f>'Congestion Management'!C13</f>
        <v>25</v>
      </c>
      <c r="E11" s="39">
        <f>'Congestion Management'!D13</f>
        <v>30000</v>
      </c>
      <c r="F11" s="39">
        <f>'Congestion Management'!E13</f>
        <v>750000</v>
      </c>
    </row>
    <row r="12" spans="2:6" ht="30.75" thickBot="1">
      <c r="B12" s="84" t="s">
        <v>78</v>
      </c>
      <c r="C12" s="6" t="str">
        <f>'Congestion Management'!B14</f>
        <v>ea</v>
      </c>
      <c r="D12" s="6">
        <f>'Congestion Management'!C14</f>
        <v>6</v>
      </c>
      <c r="E12" s="42">
        <f>'Congestion Management'!D14</f>
        <v>30000</v>
      </c>
      <c r="F12" s="42">
        <f>'Congestion Management'!E14</f>
        <v>180000</v>
      </c>
    </row>
    <row r="13" spans="2:6" ht="16.5" thickTop="1">
      <c r="B13" s="2" t="s">
        <v>13</v>
      </c>
      <c r="F13" s="41">
        <f>'Congestion Management'!E15</f>
        <v>7278000</v>
      </c>
    </row>
    <row r="17" ht="15.75">
      <c r="B17" s="2" t="str">
        <f>'Congestion Management'!A20</f>
        <v>ARTERIAL COMMUNICATIONS</v>
      </c>
    </row>
    <row r="18" spans="3:6" s="36" customFormat="1" ht="15.75">
      <c r="C18" s="36" t="str">
        <f>'Congestion Management'!B21</f>
        <v>Unit</v>
      </c>
      <c r="D18" s="36" t="str">
        <f>'Congestion Management'!C21</f>
        <v>No. Units</v>
      </c>
      <c r="E18" s="36" t="str">
        <f>'Congestion Management'!D21</f>
        <v>Cost/Unit</v>
      </c>
      <c r="F18" s="36" t="str">
        <f>'Congestion Management'!E21</f>
        <v>Total</v>
      </c>
    </row>
    <row r="19" spans="2:6" ht="30">
      <c r="B19" s="81" t="str">
        <f>'Congestion Management'!A22</f>
        <v>Fiber Optic Cable Installation (includes equipment and fiber splicing)</v>
      </c>
      <c r="C19" t="str">
        <f>'Congestion Management'!B22</f>
        <v>ft</v>
      </c>
      <c r="D19">
        <f>'Congestion Management'!C22</f>
        <v>300000</v>
      </c>
      <c r="E19" s="86">
        <f>'Congestion Management'!D22</f>
        <v>5</v>
      </c>
      <c r="F19" s="39">
        <f>'Congestion Management'!E22</f>
        <v>1500000</v>
      </c>
    </row>
    <row r="20" spans="2:6" ht="30">
      <c r="B20" s="81" t="str">
        <f>'Congestion Management'!A23</f>
        <v>POP Cabinet Upgrade (Refurbish Existing Cabinets)</v>
      </c>
      <c r="C20" t="str">
        <f>'Congestion Management'!B23</f>
        <v>ea</v>
      </c>
      <c r="D20">
        <f>'Congestion Management'!C23</f>
        <v>45</v>
      </c>
      <c r="E20" s="39">
        <f>'Congestion Management'!D23</f>
        <v>1400</v>
      </c>
      <c r="F20" s="39">
        <f>'Congestion Management'!E23</f>
        <v>63000</v>
      </c>
    </row>
    <row r="21" spans="2:6" ht="15">
      <c r="B21" s="81" t="str">
        <f>'Congestion Management'!A24</f>
        <v>Uninterrupted Power for POP Equipment Only</v>
      </c>
      <c r="C21" t="str">
        <f>'Congestion Management'!B24</f>
        <v>ea</v>
      </c>
      <c r="D21">
        <f>'Congestion Management'!C24</f>
        <v>45</v>
      </c>
      <c r="E21" s="39">
        <f>'Congestion Management'!D24</f>
        <v>2000</v>
      </c>
      <c r="F21" s="39">
        <f>'Congestion Management'!E24</f>
        <v>90000</v>
      </c>
    </row>
    <row r="22" spans="2:6" ht="15.75" thickBot="1">
      <c r="B22" s="81" t="str">
        <f>'Congestion Management'!A25</f>
        <v>POP Equipment to connect to EPB</v>
      </c>
      <c r="C22" s="6" t="str">
        <f>'Congestion Management'!B25</f>
        <v>ea</v>
      </c>
      <c r="D22" s="6">
        <f>'Congestion Management'!C25</f>
        <v>45</v>
      </c>
      <c r="E22" s="42">
        <f>'Congestion Management'!D25</f>
        <v>25000</v>
      </c>
      <c r="F22" s="42">
        <f>'Congestion Management'!E25</f>
        <v>1125000</v>
      </c>
    </row>
    <row r="23" spans="2:6" ht="16.5" thickTop="1">
      <c r="B23" s="2" t="s">
        <v>13</v>
      </c>
      <c r="E23" s="39"/>
      <c r="F23" s="41">
        <f>'Congestion Management'!E26</f>
        <v>2778000</v>
      </c>
    </row>
    <row r="34" spans="2:6" ht="31.5">
      <c r="B34" s="87" t="str">
        <f>'Congestion Management'!A30</f>
        <v>TRAFFIC OPERATION CENTER (TOC) UPGRADE</v>
      </c>
      <c r="C34" s="2" t="str">
        <f>'Congestion Management'!B30</f>
        <v>Unit</v>
      </c>
      <c r="D34" s="17" t="str">
        <f>'Congestion Management'!C30</f>
        <v>No. Units</v>
      </c>
      <c r="E34" s="2" t="str">
        <f>'Congestion Management'!D30</f>
        <v>Cost/Unit</v>
      </c>
      <c r="F34" s="2" t="str">
        <f>'Congestion Management'!E30</f>
        <v>Total</v>
      </c>
    </row>
    <row r="36" spans="2:6" ht="30">
      <c r="B36" s="81" t="str">
        <f>'Congestion Management'!A32</f>
        <v>ITS Regional System Software (DMS, Incidents, Video, etc.)</v>
      </c>
      <c r="C36" t="str">
        <f>'Congestion Management'!B32</f>
        <v>ea</v>
      </c>
      <c r="D36">
        <f>'Congestion Management'!C32</f>
        <v>1</v>
      </c>
      <c r="E36" s="39">
        <f>'Congestion Management'!D32</f>
        <v>250000</v>
      </c>
      <c r="F36" s="39">
        <f>'Congestion Management'!E32</f>
        <v>250000</v>
      </c>
    </row>
    <row r="37" spans="2:6" ht="30">
      <c r="B37" s="81" t="str">
        <f>'Congestion Management'!A33</f>
        <v>Adaptive Arterial Control (Software, License and Field Eq.)</v>
      </c>
      <c r="C37" t="str">
        <f>'Congestion Management'!B33</f>
        <v>ea</v>
      </c>
      <c r="D37">
        <f>'Congestion Management'!C33</f>
        <v>62</v>
      </c>
      <c r="E37" s="39">
        <f>'Congestion Management'!D33</f>
        <v>14500</v>
      </c>
      <c r="F37" s="39">
        <f>'Congestion Management'!E33</f>
        <v>899000</v>
      </c>
    </row>
    <row r="38" spans="2:6" ht="15">
      <c r="B38" s="81" t="str">
        <f>'Congestion Management'!A34</f>
        <v>System Integration</v>
      </c>
      <c r="C38" t="str">
        <f>'Congestion Management'!B34</f>
        <v>ea</v>
      </c>
      <c r="D38">
        <f>'Congestion Management'!C34</f>
        <v>1</v>
      </c>
      <c r="E38" s="39">
        <f>'Congestion Management'!D34</f>
        <v>110000</v>
      </c>
      <c r="F38" s="39">
        <f>'Congestion Management'!E34</f>
        <v>110000</v>
      </c>
    </row>
    <row r="39" spans="2:6" ht="30">
      <c r="B39" s="81" t="str">
        <f>'Congestion Management'!A35</f>
        <v>Laptop for equipment troubleshooting and diagnostic software</v>
      </c>
      <c r="C39" t="str">
        <f>'Congestion Management'!B35</f>
        <v>ea</v>
      </c>
      <c r="D39">
        <f>'Congestion Management'!C35</f>
        <v>3</v>
      </c>
      <c r="E39" s="39">
        <f>'Congestion Management'!D35</f>
        <v>7500</v>
      </c>
      <c r="F39" s="39">
        <f>'Congestion Management'!E35</f>
        <v>22500</v>
      </c>
    </row>
    <row r="40" spans="2:6" ht="15.75" thickBot="1">
      <c r="B40" s="88" t="str">
        <f>'Congestion Management'!A36</f>
        <v>48 Inch Plazma Display</v>
      </c>
      <c r="C40" s="21" t="str">
        <f>'Congestion Management'!B36</f>
        <v>ea</v>
      </c>
      <c r="D40" s="21">
        <f>'Congestion Management'!C36</f>
        <v>3</v>
      </c>
      <c r="E40" s="40">
        <f>'Congestion Management'!D36</f>
        <v>5000</v>
      </c>
      <c r="F40" s="40">
        <f>'Congestion Management'!E36</f>
        <v>15000</v>
      </c>
    </row>
    <row r="41" spans="2:6" ht="15.75">
      <c r="B41" s="2" t="s">
        <v>13</v>
      </c>
      <c r="E41" s="39"/>
      <c r="F41" s="41">
        <f>'Congestion Management'!E37</f>
        <v>1296500</v>
      </c>
    </row>
    <row r="46" ht="15.75">
      <c r="B46" s="2" t="s">
        <v>79</v>
      </c>
    </row>
    <row r="47" ht="31.5">
      <c r="E47" s="43" t="s">
        <v>47</v>
      </c>
    </row>
    <row r="48" spans="2:5" ht="15.75">
      <c r="B48" s="2" t="str">
        <f>B2</f>
        <v>INTERSECTION EQUIPMENT UPGRADE </v>
      </c>
      <c r="E48" s="41">
        <f>'Congestion Management'!E15</f>
        <v>7278000</v>
      </c>
    </row>
    <row r="49" spans="2:5" ht="15.75">
      <c r="B49" s="2" t="str">
        <f>'Congestion Management'!A20</f>
        <v>ARTERIAL COMMUNICATIONS</v>
      </c>
      <c r="E49" s="41">
        <f>'Congestion Management'!E26</f>
        <v>2778000</v>
      </c>
    </row>
    <row r="50" spans="2:5" ht="16.5" thickBot="1">
      <c r="B50" s="20" t="str">
        <f>'Congestion Management'!A30</f>
        <v>TRAFFIC OPERATION CENTER (TOC) UPGRADE</v>
      </c>
      <c r="C50" s="21"/>
      <c r="D50" s="21"/>
      <c r="E50" s="44">
        <f>'Congestion Management'!E37</f>
        <v>1296500</v>
      </c>
    </row>
    <row r="51" ht="15.75">
      <c r="E51" s="41">
        <f>SUM(E48:E50)</f>
        <v>11352500</v>
      </c>
    </row>
    <row r="52" spans="2:5" ht="16.5" thickBot="1">
      <c r="B52" t="s">
        <v>81</v>
      </c>
      <c r="E52" s="44">
        <f>E51*0.15</f>
        <v>1702875</v>
      </c>
    </row>
    <row r="53" spans="2:5" ht="15.75">
      <c r="B53" s="2" t="s">
        <v>82</v>
      </c>
      <c r="E53" s="41">
        <f>E51+E52</f>
        <v>13055375</v>
      </c>
    </row>
    <row r="54" ht="15">
      <c r="B54" t="s">
        <v>83</v>
      </c>
    </row>
    <row r="55" spans="2:5" ht="15">
      <c r="B55" t="s">
        <v>84</v>
      </c>
      <c r="E55" s="45">
        <f>'Congestion Management'!E48</f>
        <v>1500000</v>
      </c>
    </row>
    <row r="56" spans="2:5" ht="15.75" thickBot="1">
      <c r="B56" t="s">
        <v>86</v>
      </c>
      <c r="E56" s="46">
        <f>'Congestion Management'!E49</f>
        <v>614000</v>
      </c>
    </row>
    <row r="57" ht="15">
      <c r="E57" s="39">
        <f>SUM(E55:E56)</f>
        <v>2114000</v>
      </c>
    </row>
    <row r="58" spans="2:5" ht="15.75" thickBot="1">
      <c r="B58" t="s">
        <v>87</v>
      </c>
      <c r="E58" s="40">
        <f>E53*0.1</f>
        <v>1305537.5</v>
      </c>
    </row>
    <row r="59" spans="2:5" ht="15.75">
      <c r="B59" s="2" t="s">
        <v>85</v>
      </c>
      <c r="E59" s="41">
        <f>E57+E58</f>
        <v>3419537.5</v>
      </c>
    </row>
    <row r="61" spans="2:5" ht="15.75">
      <c r="B61" s="2" t="s">
        <v>95</v>
      </c>
      <c r="E61" s="41">
        <f>E53+E59</f>
        <v>16474912.5</v>
      </c>
    </row>
    <row r="65" ht="15.75">
      <c r="B65" s="2" t="s">
        <v>88</v>
      </c>
    </row>
    <row r="66" ht="31.5">
      <c r="E66" s="43" t="s">
        <v>47</v>
      </c>
    </row>
    <row r="67" spans="2:5" ht="15">
      <c r="B67" t="s">
        <v>89</v>
      </c>
      <c r="E67" s="39">
        <f>'Congestion Management'!E72</f>
        <v>875000</v>
      </c>
    </row>
    <row r="68" spans="2:5" ht="15.75" thickBot="1">
      <c r="B68" t="s">
        <v>90</v>
      </c>
      <c r="E68" s="40">
        <f>'Congestion Management'!E77</f>
        <v>1500000</v>
      </c>
    </row>
    <row r="69" spans="2:5" ht="15.75">
      <c r="B69" s="2" t="s">
        <v>82</v>
      </c>
      <c r="E69" s="41">
        <f>'Congestion Management'!E79</f>
        <v>2375000</v>
      </c>
    </row>
    <row r="70" spans="2:5" ht="15">
      <c r="B70" t="s">
        <v>83</v>
      </c>
      <c r="E70" s="39"/>
    </row>
    <row r="71" spans="2:5" ht="15">
      <c r="B71" t="s">
        <v>84</v>
      </c>
      <c r="E71" s="39">
        <f>'Congestion Management'!E84</f>
        <v>275000</v>
      </c>
    </row>
    <row r="72" spans="2:5" ht="16.5" thickBot="1">
      <c r="B72" t="s">
        <v>91</v>
      </c>
      <c r="E72" s="44">
        <f>'Congestion Management'!E85</f>
        <v>273125</v>
      </c>
    </row>
    <row r="73" ht="15.75">
      <c r="E73" s="41">
        <f>'Congestion Management'!E86</f>
        <v>548125</v>
      </c>
    </row>
    <row r="74" ht="15">
      <c r="E74" s="39"/>
    </row>
    <row r="75" spans="2:5" ht="15.75">
      <c r="B75" s="2" t="s">
        <v>96</v>
      </c>
      <c r="E75" s="41">
        <f>'Congestion Management'!E88</f>
        <v>3279375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Volkert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Meyer</dc:creator>
  <cp:keywords/>
  <dc:description/>
  <cp:lastModifiedBy>Stephen Meyer</cp:lastModifiedBy>
  <cp:lastPrinted>2009-09-09T01:30:25Z</cp:lastPrinted>
  <dcterms:created xsi:type="dcterms:W3CDTF">2009-08-19T13:34:26Z</dcterms:created>
  <dcterms:modified xsi:type="dcterms:W3CDTF">2009-09-12T16:38:34Z</dcterms:modified>
  <cp:category/>
  <cp:version/>
  <cp:contentType/>
  <cp:contentStatus/>
</cp:coreProperties>
</file>