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05" windowWidth="23760" windowHeight="10545"/>
  </bookViews>
  <sheets>
    <sheet name="FY 18 with notes (tax year 2017" sheetId="9" r:id="rId1"/>
  </sheets>
  <definedNames>
    <definedName name="_xlnm._FilterDatabase" localSheetId="0" hidden="1">'FY 18 with notes (tax year 2017'!$A$3:$AL$60</definedName>
    <definedName name="_xlnm.Print_Area" localSheetId="0">'FY 18 with notes (tax year 2017'!$A$1:$AM$65</definedName>
    <definedName name="_xlnm.Print_Titles" localSheetId="0">'FY 18 with notes (tax year 2017'!$2:$3</definedName>
  </definedNames>
  <calcPr calcId="145621"/>
</workbook>
</file>

<file path=xl/calcChain.xml><?xml version="1.0" encoding="utf-8"?>
<calcChain xmlns="http://schemas.openxmlformats.org/spreadsheetml/2006/main">
  <c r="AE29" i="9" l="1"/>
  <c r="AB29" i="9"/>
  <c r="AC29" i="9"/>
  <c r="AE24" i="9"/>
  <c r="AE23" i="9"/>
  <c r="AB23" i="9"/>
  <c r="AE19" i="9"/>
  <c r="AE34" i="9"/>
  <c r="U34" i="9"/>
  <c r="U32" i="9"/>
  <c r="AD16" i="9"/>
  <c r="AF16" i="9" s="1"/>
  <c r="AL16" i="9" s="1"/>
  <c r="AE16" i="9"/>
  <c r="AI16" i="9"/>
  <c r="AH16" i="9"/>
  <c r="Y16" i="9"/>
  <c r="X16" i="9"/>
  <c r="W16" i="9"/>
  <c r="U16" i="9"/>
  <c r="AH29" i="9" l="1"/>
  <c r="AI29" i="9"/>
  <c r="AJ29" i="9"/>
  <c r="AK29" i="9"/>
  <c r="AD29" i="9"/>
  <c r="AF29" i="9" s="1"/>
  <c r="AL29" i="9" s="1"/>
  <c r="W29" i="9"/>
  <c r="X29" i="9"/>
  <c r="Y29" i="9"/>
  <c r="Z29" i="9"/>
  <c r="AC32" i="9" l="1"/>
  <c r="AB32" i="9"/>
  <c r="AD42" i="9" l="1"/>
  <c r="U42" i="9"/>
  <c r="U41" i="9"/>
  <c r="AB39" i="9"/>
  <c r="U39" i="9"/>
  <c r="U60" i="9"/>
  <c r="U25" i="9"/>
  <c r="W25" i="9" s="1"/>
  <c r="AC24" i="9"/>
  <c r="AB24" i="9"/>
  <c r="U24" i="9"/>
  <c r="U57" i="9"/>
  <c r="U58" i="9"/>
  <c r="U59" i="9"/>
  <c r="AK34" i="9"/>
  <c r="AK56" i="9"/>
  <c r="AH56" i="9"/>
  <c r="Y56" i="9"/>
  <c r="AD56" i="9" s="1"/>
  <c r="AF56" i="9" s="1"/>
  <c r="W56" i="9"/>
  <c r="AD23" i="9"/>
  <c r="U23" i="9"/>
  <c r="U9" i="9"/>
  <c r="U20" i="9"/>
  <c r="AC19" i="9"/>
  <c r="AB19" i="9"/>
  <c r="U19" i="9"/>
  <c r="U44" i="9"/>
  <c r="W44" i="9" s="1"/>
  <c r="U18" i="9"/>
  <c r="AB36" i="9"/>
  <c r="U36" i="9"/>
  <c r="AD52" i="9"/>
  <c r="U52" i="9"/>
  <c r="AJ56" i="9" l="1"/>
  <c r="Y34" i="9"/>
  <c r="W34" i="9"/>
  <c r="AH34" i="9" s="1"/>
  <c r="U8" i="9"/>
  <c r="AD34" i="9" l="1"/>
  <c r="AF34" i="9" s="1"/>
  <c r="AC51" i="9"/>
  <c r="AD51" i="9" s="1"/>
  <c r="AB51" i="9"/>
  <c r="U51" i="9"/>
  <c r="U14" i="9"/>
  <c r="U49" i="9"/>
  <c r="AD12" i="9"/>
  <c r="U12" i="9"/>
  <c r="AC48" i="9"/>
  <c r="AD48" i="9" s="1"/>
  <c r="U10" i="9"/>
  <c r="U7" i="9"/>
  <c r="AD31" i="9"/>
  <c r="U31" i="9"/>
  <c r="AF47" i="9"/>
  <c r="X1" i="9"/>
  <c r="AK47" i="9"/>
  <c r="W47" i="9"/>
  <c r="AH47" i="9" s="1"/>
  <c r="Y47" i="9"/>
  <c r="AJ47" i="9" s="1"/>
  <c r="X47" i="9" l="1"/>
  <c r="AD59" i="9"/>
  <c r="X56" i="9"/>
  <c r="AC59" i="9"/>
  <c r="AC36" i="9"/>
  <c r="AD36" i="9" s="1"/>
  <c r="AC39" i="9"/>
  <c r="AD39" i="9"/>
  <c r="AD58" i="9"/>
  <c r="AC58" i="9"/>
  <c r="X34" i="9"/>
  <c r="AJ34" i="9"/>
  <c r="AI47" i="9"/>
  <c r="Z47" i="9"/>
  <c r="AL47" i="9" s="1"/>
  <c r="AI34" i="9" l="1"/>
  <c r="Z34" i="9"/>
  <c r="AL34" i="9" s="1"/>
  <c r="AI56" i="9"/>
  <c r="Z56" i="9"/>
  <c r="AL56" i="9" s="1"/>
  <c r="W57" i="9"/>
  <c r="AK57" i="9"/>
  <c r="AH57" i="9" l="1"/>
  <c r="Y57" i="9"/>
  <c r="AD57" i="9" s="1"/>
  <c r="AF57" i="9" s="1"/>
  <c r="AK10" i="9"/>
  <c r="Y10" i="9"/>
  <c r="AJ57" i="9" l="1"/>
  <c r="AD10" i="9"/>
  <c r="AJ10" i="9" s="1"/>
  <c r="W10" i="9"/>
  <c r="AB10" i="9" l="1"/>
  <c r="AH10" i="9" l="1"/>
  <c r="AK8" i="9" l="1"/>
  <c r="Y8" i="9"/>
  <c r="AD8" i="9" s="1"/>
  <c r="W8" i="9" l="1"/>
  <c r="AB8" i="9" s="1"/>
  <c r="AJ8" i="9"/>
  <c r="AH8" i="9" l="1"/>
  <c r="Y5" i="9"/>
  <c r="Z16" i="9"/>
  <c r="Y50" i="9" l="1"/>
  <c r="W50" i="9"/>
  <c r="AK60" i="9" l="1"/>
  <c r="AF60" i="9"/>
  <c r="AK59" i="9"/>
  <c r="AB59" i="9"/>
  <c r="Y59" i="9"/>
  <c r="AJ59" i="9" s="1"/>
  <c r="AK58" i="9"/>
  <c r="AK54" i="9"/>
  <c r="AF54" i="9"/>
  <c r="Y54" i="9"/>
  <c r="W54" i="9"/>
  <c r="AK53" i="9"/>
  <c r="AF53" i="9"/>
  <c r="Y53" i="9"/>
  <c r="AJ53" i="9" s="1"/>
  <c r="W53" i="9"/>
  <c r="AH53" i="9" s="1"/>
  <c r="AK52" i="9"/>
  <c r="Y52" i="9"/>
  <c r="W52" i="9"/>
  <c r="AH52" i="9" s="1"/>
  <c r="AK51" i="9"/>
  <c r="Y51" i="9"/>
  <c r="AK49" i="9"/>
  <c r="Y49" i="9"/>
  <c r="AK48" i="9"/>
  <c r="Y48" i="9"/>
  <c r="W48" i="9"/>
  <c r="AH48" i="9" s="1"/>
  <c r="AK44" i="9"/>
  <c r="Y44" i="9"/>
  <c r="AD44" i="9" s="1"/>
  <c r="S44" i="9"/>
  <c r="AK42" i="9"/>
  <c r="AF42" i="9"/>
  <c r="Y42" i="9"/>
  <c r="S42" i="9"/>
  <c r="AK41" i="9"/>
  <c r="Y41" i="9"/>
  <c r="AD41" i="9" s="1"/>
  <c r="S41" i="9"/>
  <c r="AK39" i="9"/>
  <c r="Y39" i="9"/>
  <c r="S39" i="9"/>
  <c r="AK38" i="9"/>
  <c r="Y38" i="9"/>
  <c r="W38" i="9"/>
  <c r="AH38" i="9" s="1"/>
  <c r="AK37" i="9"/>
  <c r="Y37" i="9"/>
  <c r="AD37" i="9" s="1"/>
  <c r="AF37" i="9" s="1"/>
  <c r="W37" i="9"/>
  <c r="AH37" i="9" s="1"/>
  <c r="AK36" i="9"/>
  <c r="Y36" i="9"/>
  <c r="AK32" i="9"/>
  <c r="W32" i="9"/>
  <c r="AK31" i="9"/>
  <c r="AF31" i="9"/>
  <c r="AK28" i="9"/>
  <c r="Y28" i="9"/>
  <c r="W28" i="9"/>
  <c r="AH28" i="9" s="1"/>
  <c r="AK27" i="9"/>
  <c r="Y27" i="9"/>
  <c r="AD27" i="9" s="1"/>
  <c r="AF27" i="9" s="1"/>
  <c r="W27" i="9"/>
  <c r="AH27" i="9" s="1"/>
  <c r="AK26" i="9"/>
  <c r="AJ26" i="9"/>
  <c r="AI26" i="9"/>
  <c r="AH26" i="9"/>
  <c r="AF26" i="9"/>
  <c r="Z26" i="9"/>
  <c r="AK25" i="9"/>
  <c r="AK24" i="9"/>
  <c r="Y24" i="9"/>
  <c r="AD24" i="9" s="1"/>
  <c r="AF24" i="9" s="1"/>
  <c r="AK9" i="9"/>
  <c r="Y9" i="9"/>
  <c r="AD9" i="9" s="1"/>
  <c r="AK22" i="9"/>
  <c r="Y22" i="9"/>
  <c r="AD22" i="9" s="1"/>
  <c r="AF22" i="9" s="1"/>
  <c r="W22" i="9"/>
  <c r="AH22" i="9" s="1"/>
  <c r="AK21" i="9"/>
  <c r="Y21" i="9"/>
  <c r="AD21" i="9" s="1"/>
  <c r="W21" i="9"/>
  <c r="AK20" i="9"/>
  <c r="Y19" i="9"/>
  <c r="AD19" i="9" s="1"/>
  <c r="AK18" i="9"/>
  <c r="W18" i="9"/>
  <c r="AK15" i="9"/>
  <c r="Y15" i="9"/>
  <c r="AD15" i="9" s="1"/>
  <c r="W15" i="9"/>
  <c r="AH15" i="9" s="1"/>
  <c r="AK6" i="9"/>
  <c r="Y6" i="9"/>
  <c r="AD6" i="9" s="1"/>
  <c r="W6" i="9"/>
  <c r="AH6" i="9" s="1"/>
  <c r="S6" i="9"/>
  <c r="AK14" i="9"/>
  <c r="P14" i="9"/>
  <c r="AK13" i="9"/>
  <c r="AF13" i="9"/>
  <c r="Y13" i="9"/>
  <c r="AJ13" i="9" s="1"/>
  <c r="W13" i="9"/>
  <c r="AH13" i="9" s="1"/>
  <c r="AK12" i="9"/>
  <c r="AF12" i="9"/>
  <c r="S12" i="9"/>
  <c r="AK11" i="9"/>
  <c r="U11" i="9"/>
  <c r="W11" i="9" s="1"/>
  <c r="AK7" i="9"/>
  <c r="Y7" i="9"/>
  <c r="AK5" i="9"/>
  <c r="AJ5" i="9"/>
  <c r="AF5" i="9"/>
  <c r="W5" i="9"/>
  <c r="X57" i="9"/>
  <c r="AH54" i="9" l="1"/>
  <c r="AB74" i="9"/>
  <c r="AJ54" i="9"/>
  <c r="AD74" i="9"/>
  <c r="AI57" i="9"/>
  <c r="Z57" i="9"/>
  <c r="AL57" i="9" s="1"/>
  <c r="X14" i="9"/>
  <c r="AI14" i="9" s="1"/>
  <c r="AF19" i="9"/>
  <c r="X52" i="9"/>
  <c r="Z52" i="9" s="1"/>
  <c r="X10" i="9"/>
  <c r="AL26" i="9"/>
  <c r="W24" i="9"/>
  <c r="AH24" i="9" s="1"/>
  <c r="Y11" i="9"/>
  <c r="AD11" i="9" s="1"/>
  <c r="AJ52" i="9"/>
  <c r="AF58" i="9"/>
  <c r="AJ51" i="9"/>
  <c r="X8" i="9"/>
  <c r="X11" i="9"/>
  <c r="AC11" i="9" s="1"/>
  <c r="X58" i="9"/>
  <c r="AI58" i="9" s="1"/>
  <c r="X32" i="9"/>
  <c r="AI32" i="9" s="1"/>
  <c r="AF52" i="9"/>
  <c r="Y18" i="9"/>
  <c r="AD18" i="9" s="1"/>
  <c r="Y32" i="9"/>
  <c r="AD32" i="9" s="1"/>
  <c r="AF32" i="9" s="1"/>
  <c r="X21" i="9"/>
  <c r="Z21" i="9" s="1"/>
  <c r="AD49" i="9"/>
  <c r="AF49" i="9" s="1"/>
  <c r="X23" i="9"/>
  <c r="AC23" i="9" s="1"/>
  <c r="Y23" i="9"/>
  <c r="AJ23" i="9" s="1"/>
  <c r="AF59" i="9"/>
  <c r="Y31" i="9"/>
  <c r="AJ31" i="9" s="1"/>
  <c r="X7" i="9"/>
  <c r="AC7" i="9" s="1"/>
  <c r="W9" i="9"/>
  <c r="AB9" i="9" s="1"/>
  <c r="W19" i="9"/>
  <c r="AH19" i="9" s="1"/>
  <c r="X9" i="9"/>
  <c r="X54" i="9"/>
  <c r="AK19" i="9"/>
  <c r="X22" i="9"/>
  <c r="AI22" i="9" s="1"/>
  <c r="X36" i="9"/>
  <c r="X44" i="9"/>
  <c r="AC44" i="9" s="1"/>
  <c r="AI44" i="9" s="1"/>
  <c r="W49" i="9"/>
  <c r="Y14" i="9"/>
  <c r="AD14" i="9" s="1"/>
  <c r="AF14" i="9" s="1"/>
  <c r="X51" i="9"/>
  <c r="Y58" i="9"/>
  <c r="AJ58" i="9" s="1"/>
  <c r="AJ48" i="9"/>
  <c r="AJ39" i="9"/>
  <c r="X50" i="9"/>
  <c r="Z50" i="9" s="1"/>
  <c r="X5" i="9"/>
  <c r="AI5" i="9" s="1"/>
  <c r="W12" i="9"/>
  <c r="AH12" i="9" s="1"/>
  <c r="Y12" i="9"/>
  <c r="AJ12" i="9" s="1"/>
  <c r="X49" i="9"/>
  <c r="AI49" i="9" s="1"/>
  <c r="X12" i="9"/>
  <c r="AI12" i="9" s="1"/>
  <c r="X18" i="9"/>
  <c r="AJ22" i="9"/>
  <c r="AH32" i="9"/>
  <c r="AF6" i="9"/>
  <c r="AJ6" i="9"/>
  <c r="AD28" i="9"/>
  <c r="AF28" i="9" s="1"/>
  <c r="AB11" i="9"/>
  <c r="AD38" i="9"/>
  <c r="AF38" i="9" s="1"/>
  <c r="AB18" i="9"/>
  <c r="AJ15" i="9"/>
  <c r="AF15" i="9"/>
  <c r="Y25" i="9"/>
  <c r="AD25" i="9" s="1"/>
  <c r="X25" i="9"/>
  <c r="AI25" i="9" s="1"/>
  <c r="AJ41" i="9"/>
  <c r="W60" i="9"/>
  <c r="Y60" i="9"/>
  <c r="AJ60" i="9" s="1"/>
  <c r="X60" i="9"/>
  <c r="AI60" i="9" s="1"/>
  <c r="AH25" i="9"/>
  <c r="AD7" i="9"/>
  <c r="AJ7" i="9" s="1"/>
  <c r="Y20" i="9"/>
  <c r="X20" i="9"/>
  <c r="W20" i="9"/>
  <c r="AJ21" i="9"/>
  <c r="AJ24" i="9"/>
  <c r="AJ44" i="9"/>
  <c r="W42" i="9"/>
  <c r="AJ42" i="9"/>
  <c r="X42" i="9"/>
  <c r="AI42" i="9" s="1"/>
  <c r="AH5" i="9"/>
  <c r="AJ19" i="9"/>
  <c r="AJ9" i="9"/>
  <c r="W31" i="9"/>
  <c r="X13" i="9"/>
  <c r="AI13" i="9" s="1"/>
  <c r="X6" i="9"/>
  <c r="AI6" i="9" s="1"/>
  <c r="AB21" i="9"/>
  <c r="AJ27" i="9"/>
  <c r="X31" i="9"/>
  <c r="AI31" i="9" s="1"/>
  <c r="AJ36" i="9"/>
  <c r="AJ37" i="9"/>
  <c r="W39" i="9"/>
  <c r="X41" i="9"/>
  <c r="W59" i="9"/>
  <c r="W41" i="9"/>
  <c r="W7" i="9"/>
  <c r="X27" i="9"/>
  <c r="AI27" i="9" s="1"/>
  <c r="X37" i="9"/>
  <c r="AI37" i="9" s="1"/>
  <c r="X39" i="9"/>
  <c r="X48" i="9"/>
  <c r="W51" i="9"/>
  <c r="X59" i="9"/>
  <c r="AI59" i="9" s="1"/>
  <c r="W14" i="9"/>
  <c r="X15" i="9"/>
  <c r="X19" i="9"/>
  <c r="W23" i="9"/>
  <c r="AK23" i="9" s="1"/>
  <c r="X24" i="9"/>
  <c r="AN24" i="9" s="1"/>
  <c r="W36" i="9"/>
  <c r="X53" i="9"/>
  <c r="W58" i="9"/>
  <c r="X28" i="9"/>
  <c r="X38" i="9"/>
  <c r="AI54" i="9" l="1"/>
  <c r="AC74" i="9"/>
  <c r="AC21" i="9"/>
  <c r="AI21" i="9" s="1"/>
  <c r="AJ11" i="9"/>
  <c r="AE64" i="9"/>
  <c r="AF39" i="9"/>
  <c r="AK64" i="9"/>
  <c r="AI23" i="9"/>
  <c r="AN23" i="9"/>
  <c r="AC10" i="9"/>
  <c r="Z10" i="9"/>
  <c r="AJ18" i="9"/>
  <c r="AL52" i="9"/>
  <c r="AI48" i="9"/>
  <c r="Z9" i="9"/>
  <c r="AF48" i="9"/>
  <c r="Z11" i="9"/>
  <c r="AI11" i="9"/>
  <c r="AJ49" i="9"/>
  <c r="AI39" i="9"/>
  <c r="AJ32" i="9"/>
  <c r="Z5" i="9"/>
  <c r="AL5" i="9" s="1"/>
  <c r="Z18" i="9"/>
  <c r="Z32" i="9"/>
  <c r="AL32" i="9" s="1"/>
  <c r="Z54" i="9"/>
  <c r="AL54" i="9" s="1"/>
  <c r="AC8" i="9"/>
  <c r="AF8" i="9" s="1"/>
  <c r="Z8" i="9"/>
  <c r="AI51" i="9"/>
  <c r="Z49" i="9"/>
  <c r="AL49" i="9" s="1"/>
  <c r="AF51" i="9"/>
  <c r="AI52" i="9"/>
  <c r="Z12" i="9"/>
  <c r="AL12" i="9" s="1"/>
  <c r="AH49" i="9"/>
  <c r="Z22" i="9"/>
  <c r="AL22" i="9" s="1"/>
  <c r="W64" i="9"/>
  <c r="AI7" i="9"/>
  <c r="Z25" i="9"/>
  <c r="AC9" i="9"/>
  <c r="AI9" i="9" s="1"/>
  <c r="AC18" i="9"/>
  <c r="AF18" i="9" s="1"/>
  <c r="Y64" i="9"/>
  <c r="Z13" i="9"/>
  <c r="AL13" i="9" s="1"/>
  <c r="AH9" i="9"/>
  <c r="X64" i="9"/>
  <c r="Z48" i="9"/>
  <c r="Z44" i="9"/>
  <c r="AB44" i="9"/>
  <c r="AF44" i="9" s="1"/>
  <c r="AH36" i="9"/>
  <c r="Z36" i="9"/>
  <c r="AI28" i="9"/>
  <c r="Z28" i="9"/>
  <c r="AL28" i="9" s="1"/>
  <c r="AI24" i="9"/>
  <c r="Z24" i="9"/>
  <c r="AL24" i="9" s="1"/>
  <c r="Z23" i="9"/>
  <c r="Z51" i="9"/>
  <c r="AH51" i="9"/>
  <c r="Z41" i="9"/>
  <c r="AB41" i="9"/>
  <c r="Z27" i="9"/>
  <c r="AL27" i="9" s="1"/>
  <c r="AI36" i="9"/>
  <c r="Z6" i="9"/>
  <c r="AL6" i="9" s="1"/>
  <c r="AH18" i="9"/>
  <c r="AJ38" i="9"/>
  <c r="AI19" i="9"/>
  <c r="AN19" i="9" s="1"/>
  <c r="Z19" i="9"/>
  <c r="AL19" i="9" s="1"/>
  <c r="Z59" i="9"/>
  <c r="AL59" i="9" s="1"/>
  <c r="AH59" i="9"/>
  <c r="Z31" i="9"/>
  <c r="AL31" i="9" s="1"/>
  <c r="AH31" i="9"/>
  <c r="AJ14" i="9"/>
  <c r="AH58" i="9"/>
  <c r="Z58" i="9"/>
  <c r="AL58" i="9" s="1"/>
  <c r="AI15" i="9"/>
  <c r="Z15" i="9"/>
  <c r="AL15" i="9" s="1"/>
  <c r="AF25" i="9"/>
  <c r="AF11" i="9"/>
  <c r="AH11" i="9"/>
  <c r="AB20" i="9"/>
  <c r="AH20" i="9" s="1"/>
  <c r="Z20" i="9"/>
  <c r="Z7" i="9"/>
  <c r="AB7" i="9"/>
  <c r="AF36" i="9"/>
  <c r="AC20" i="9"/>
  <c r="AI20" i="9" s="1"/>
  <c r="AH21" i="9"/>
  <c r="AJ28" i="9"/>
  <c r="AH14" i="9"/>
  <c r="Z14" i="9"/>
  <c r="AL14" i="9" s="1"/>
  <c r="AH42" i="9"/>
  <c r="Z42" i="9"/>
  <c r="AL42" i="9" s="1"/>
  <c r="AD20" i="9"/>
  <c r="AJ20" i="9" s="1"/>
  <c r="AI53" i="9"/>
  <c r="Z53" i="9"/>
  <c r="AL53" i="9" s="1"/>
  <c r="AC41" i="9"/>
  <c r="AI41" i="9" s="1"/>
  <c r="Z39" i="9"/>
  <c r="AH39" i="9"/>
  <c r="AH60" i="9"/>
  <c r="Z60" i="9"/>
  <c r="AL60" i="9" s="1"/>
  <c r="AI38" i="9"/>
  <c r="Z38" i="9"/>
  <c r="AL38" i="9" s="1"/>
  <c r="Z37" i="9"/>
  <c r="AL37" i="9" s="1"/>
  <c r="AI8" i="9" l="1"/>
  <c r="AL8" i="9"/>
  <c r="AF21" i="9"/>
  <c r="AL21" i="9" s="1"/>
  <c r="AL39" i="9"/>
  <c r="AF23" i="9"/>
  <c r="AL23" i="9" s="1"/>
  <c r="AC64" i="9"/>
  <c r="AL11" i="9"/>
  <c r="AI10" i="9"/>
  <c r="AF10" i="9"/>
  <c r="AL10" i="9" s="1"/>
  <c r="AL48" i="9"/>
  <c r="AF41" i="9"/>
  <c r="AL41" i="9" s="1"/>
  <c r="AL51" i="9"/>
  <c r="AL18" i="9"/>
  <c r="AL25" i="9"/>
  <c r="AI18" i="9"/>
  <c r="AF9" i="9"/>
  <c r="AL9" i="9" s="1"/>
  <c r="Z64" i="9"/>
  <c r="AB64" i="9"/>
  <c r="AD64" i="9"/>
  <c r="AJ25" i="9"/>
  <c r="AJ64" i="9" s="1"/>
  <c r="AF7" i="9"/>
  <c r="AH7" i="9"/>
  <c r="AH23" i="9"/>
  <c r="AL36" i="9"/>
  <c r="AH41" i="9"/>
  <c r="AL44" i="9"/>
  <c r="AF20" i="9"/>
  <c r="AL20" i="9" s="1"/>
  <c r="AH44" i="9"/>
  <c r="AI64" i="9" l="1"/>
  <c r="AH64" i="9"/>
  <c r="AF64" i="9"/>
  <c r="AL7" i="9"/>
  <c r="AL64" i="9" s="1"/>
</calcChain>
</file>

<file path=xl/sharedStrings.xml><?xml version="1.0" encoding="utf-8"?>
<sst xmlns="http://schemas.openxmlformats.org/spreadsheetml/2006/main" count="371" uniqueCount="242">
  <si>
    <t>Company Name</t>
  </si>
  <si>
    <t>Jobs Commitment</t>
  </si>
  <si>
    <t xml:space="preserve">Average Wage </t>
  </si>
  <si>
    <t>All Tax Abated Properties Addresses</t>
  </si>
  <si>
    <t>Agreement Investment Notes</t>
  </si>
  <si>
    <t>Resolution Date</t>
  </si>
  <si>
    <t xml:space="preserve">Year Beginning </t>
  </si>
  <si>
    <t>Year Ending</t>
  </si>
  <si>
    <t>Primary Address Lat</t>
  </si>
  <si>
    <t>Primary Address Long</t>
  </si>
  <si>
    <t>1725 Shepherd Rd &amp; 1202 E 39th St</t>
  </si>
  <si>
    <t>N/A</t>
  </si>
  <si>
    <t>1715 W 38th St &amp; 3350 Broad St</t>
  </si>
  <si>
    <t>Olan Mills Drive</t>
  </si>
  <si>
    <t>43 new and 270 Retained</t>
  </si>
  <si>
    <t>GESTAMP CHATTANOOGA LLC</t>
  </si>
  <si>
    <t>3063 Hickory Valley Rd</t>
  </si>
  <si>
    <t>5200 Wilson Rd</t>
  </si>
  <si>
    <t>INVISTA (Formerly:  E.I. duPont)</t>
  </si>
  <si>
    <t>N Access Rd</t>
  </si>
  <si>
    <t>JARNIGAN ROAD/EMJ CORP (CBL)</t>
  </si>
  <si>
    <t>2034 Hamilton Place Blvd</t>
  </si>
  <si>
    <t>LJT OF TENNESSEE #2</t>
  </si>
  <si>
    <t>600 River Terminal Rd</t>
  </si>
  <si>
    <t>PLASTIC OMNIUM AUTO EXTERIORS, LLC</t>
  </si>
  <si>
    <t>3241 Hickory Valley Rd</t>
  </si>
  <si>
    <t>PROVIDENT/UNUM PROVIDENT CORP.</t>
  </si>
  <si>
    <t xml:space="preserve">425 High St </t>
  </si>
  <si>
    <t>473 Walnut St</t>
  </si>
  <si>
    <t>800 Manufacturers Rd</t>
  </si>
  <si>
    <t>Compress St, 3480 Amnicola, 625 Hulsey</t>
  </si>
  <si>
    <t>WESTINGHOUSE ELECTRIC CO</t>
  </si>
  <si>
    <t>401 River Terminal Rd</t>
  </si>
  <si>
    <t>WM WRIGLEY JR CO</t>
  </si>
  <si>
    <t>3002 Jersey Pike</t>
  </si>
  <si>
    <t>AKI</t>
  </si>
  <si>
    <t>3800 Amnicola Hwy</t>
  </si>
  <si>
    <t>Retain 210 50 new</t>
  </si>
  <si>
    <t>AMAZON.COM DEDC LLC PROJECT</t>
  </si>
  <si>
    <t>7200 Volkswagen Dr</t>
  </si>
  <si>
    <t>7380 Volkswagen Dr</t>
  </si>
  <si>
    <t>COLUMBUS MCKINNON CORP / DIXIE INDUSTRIES</t>
  </si>
  <si>
    <t>3510 N Orchard Knob &amp; 1402 E 12th St</t>
  </si>
  <si>
    <t>RIVERCITY CO - MAJESTIC 12 THEATER</t>
  </si>
  <si>
    <t>311 Broad St</t>
  </si>
  <si>
    <t>VOLKSWAGEN GROUP OF AMERICA INC</t>
  </si>
  <si>
    <t>8001 Volkswagen Dr &amp; Discovery Dr</t>
  </si>
  <si>
    <t>WNA AMERICAN PLASTIC INDUSTRIES INC</t>
  </si>
  <si>
    <t>5930 Quintus Loop</t>
  </si>
  <si>
    <t>WOODBRIDGE CHATTANOOGA PLASTICS LP</t>
  </si>
  <si>
    <t>1615 Cowart St</t>
  </si>
  <si>
    <t>FRAZIER PARTNERS LLC</t>
  </si>
  <si>
    <t>330 Frazier Ave</t>
  </si>
  <si>
    <t>MK, LLC</t>
  </si>
  <si>
    <t>Market St</t>
  </si>
  <si>
    <t>SOUTH MARKET LLC</t>
  </si>
  <si>
    <t>1280 Market St</t>
  </si>
  <si>
    <t>UTC TWO LLC</t>
  </si>
  <si>
    <t>Lindsay St &amp; 615 Lindsay St</t>
  </si>
  <si>
    <t>UTC THREE LLC</t>
  </si>
  <si>
    <t>863 McCallie Ave</t>
  </si>
  <si>
    <t>WALNUT COMMONS LLC</t>
  </si>
  <si>
    <t>212 Walnut St</t>
  </si>
  <si>
    <t>Assessment on PILOT Properties</t>
  </si>
  <si>
    <t>Property Tax without PILOT Agreement</t>
  </si>
  <si>
    <t>City Taxes</t>
  </si>
  <si>
    <t>County General Tax</t>
  </si>
  <si>
    <t>County School Tax</t>
  </si>
  <si>
    <t>VOLKSWAGEN GROUP OF AMERICA INC - 2014</t>
  </si>
  <si>
    <t>Total Tax - w/o PILOT</t>
  </si>
  <si>
    <t>Net Cost of PILOT</t>
  </si>
  <si>
    <t>City</t>
  </si>
  <si>
    <t>County General Government</t>
  </si>
  <si>
    <t>County Schools</t>
  </si>
  <si>
    <t>Total Cost of PILOT</t>
  </si>
  <si>
    <t>City Council Approval</t>
  </si>
  <si>
    <t>County Commission Approval</t>
  </si>
  <si>
    <t>INDUSTRIAL DEVELOPMENT BOARD OF CHATTANOOGA</t>
  </si>
  <si>
    <t>HEALTH, EDUCATION AND HOUSING FACILITIES BOARD</t>
  </si>
  <si>
    <t>INDUSTRIAL DEVELOPMENT BOARD OF HAMILTON COUNTY</t>
  </si>
  <si>
    <t>909-40</t>
  </si>
  <si>
    <t>1210-12</t>
  </si>
  <si>
    <t>606-26</t>
  </si>
  <si>
    <t>302-41A</t>
  </si>
  <si>
    <t>609-11</t>
  </si>
  <si>
    <t>714-18</t>
  </si>
  <si>
    <t>1208-36</t>
  </si>
  <si>
    <t>1009-15</t>
  </si>
  <si>
    <t>207-26</t>
  </si>
  <si>
    <t>706-17</t>
  </si>
  <si>
    <t>614-19</t>
  </si>
  <si>
    <t>309-37</t>
  </si>
  <si>
    <t>1101-26</t>
  </si>
  <si>
    <t>1008-27</t>
  </si>
  <si>
    <t>1214-8</t>
  </si>
  <si>
    <t>710-5</t>
  </si>
  <si>
    <t>ASTEC INDUSTRIES INC</t>
  </si>
  <si>
    <t>SOUTHERN CHAMPION TRAY 2014</t>
  </si>
  <si>
    <t>697-19</t>
  </si>
  <si>
    <t>Resolution</t>
  </si>
  <si>
    <t>1212-20</t>
  </si>
  <si>
    <t>1212-21</t>
  </si>
  <si>
    <t>1108-43</t>
  </si>
  <si>
    <t>813-44</t>
  </si>
  <si>
    <t>1113-26</t>
  </si>
  <si>
    <t>1010-8</t>
  </si>
  <si>
    <t>1006-36</t>
  </si>
  <si>
    <t>714-31</t>
  </si>
  <si>
    <t>CHATTEM INC  (7/2014)</t>
  </si>
  <si>
    <t>CHATTEM INC  (Agreement 1)</t>
  </si>
  <si>
    <t>CHATTEM INC  (Agreement 2)</t>
  </si>
  <si>
    <t>State Map No.</t>
  </si>
  <si>
    <t>Per 040158</t>
  </si>
  <si>
    <t>139-074</t>
  </si>
  <si>
    <t>148G-G-005, 168A-P-014; Per 031920, 031917</t>
  </si>
  <si>
    <t>145K-K-014</t>
  </si>
  <si>
    <t>155J-D-016.01; 155J-G-018</t>
  </si>
  <si>
    <t>155J-G-018; Per 038582</t>
  </si>
  <si>
    <t>Per 038580</t>
  </si>
  <si>
    <t>148M-G-005.01; Per 035391</t>
  </si>
  <si>
    <t>167M-A-001.01; Per 031919</t>
  </si>
  <si>
    <t>110P-B-001, L001; Per 029337</t>
  </si>
  <si>
    <t>127-K-A-001.19</t>
  </si>
  <si>
    <t>145L-B-006.01</t>
  </si>
  <si>
    <t>151-036-L000; Per 033050</t>
  </si>
  <si>
    <t>135M-F-019; Per 023983</t>
  </si>
  <si>
    <t>135M-E-001</t>
  </si>
  <si>
    <t>135NB-A-003</t>
  </si>
  <si>
    <t>135J-B-001; Per 031918</t>
  </si>
  <si>
    <t>145E-L-013.01 C001</t>
  </si>
  <si>
    <t>Per 039927</t>
  </si>
  <si>
    <t>130-008.18, 24; Per 036767, Per 042026</t>
  </si>
  <si>
    <t>127K-A-001.18; Per 038818</t>
  </si>
  <si>
    <t>Per 045376</t>
  </si>
  <si>
    <t>138I-A-002.01; Per 033241</t>
  </si>
  <si>
    <t>138I-A-002.01; Per 404153</t>
  </si>
  <si>
    <t>314-25</t>
  </si>
  <si>
    <t>Bill for Payments in Lieu of Taxes</t>
  </si>
  <si>
    <t>Total In Lieu of Taxes</t>
  </si>
  <si>
    <t>2006</t>
  </si>
  <si>
    <t>601 River Terminal Rd</t>
  </si>
  <si>
    <t>8002 Volkswagen Dr &amp; Discovery Dr</t>
  </si>
  <si>
    <t>Economic Dev. Fee</t>
  </si>
  <si>
    <t>Link to Resolution</t>
  </si>
  <si>
    <t>View</t>
  </si>
  <si>
    <t>10638 Apison Pike</t>
  </si>
  <si>
    <t>COCA-COLA BOTTLING COMPANY UNITED</t>
  </si>
  <si>
    <t>McKEE FOODS (City of Collegedale)</t>
  </si>
  <si>
    <t>914-31</t>
  </si>
  <si>
    <t>215-37</t>
  </si>
  <si>
    <t>315-43</t>
  </si>
  <si>
    <t>515-28</t>
  </si>
  <si>
    <t>GESTAMP NORTH AMERICA, INC</t>
  </si>
  <si>
    <t>715-15</t>
  </si>
  <si>
    <t>GESTAMP CHATTANOOGA LLC (07/2010)</t>
  </si>
  <si>
    <t>STEEL WAREHOUSE OF TN LLC (LJT)</t>
  </si>
  <si>
    <t>UTC FIVE, LLC</t>
  </si>
  <si>
    <t>500 Lindsay Street</t>
  </si>
  <si>
    <t>CHOO CHOO PARTNERS, LP</t>
  </si>
  <si>
    <t>HERITAGE-MACLELLAN APARTMENTS, LLC</t>
  </si>
  <si>
    <t>Agreement Notes</t>
  </si>
  <si>
    <t>Must reserve at least 20% of available units for lower income persons</t>
  </si>
  <si>
    <t>1400 Market Street (Building No. 2)</t>
  </si>
  <si>
    <t>97 units contemplated; must reserve at least 20% of available units for lower income persons</t>
  </si>
  <si>
    <t>90 apts contemplated plus retail space; must reserve at least 20% of available units for lower income persons</t>
  </si>
  <si>
    <t>64 units contemplated; must reserve at least 20% of available units for lower income persons</t>
  </si>
  <si>
    <t>715-16</t>
  </si>
  <si>
    <t>715-17</t>
  </si>
  <si>
    <t>VAN DE WIELE, INC</t>
  </si>
  <si>
    <t>1400 CHESTNUT LLC (KORE Company)</t>
  </si>
  <si>
    <t>710-4</t>
  </si>
  <si>
    <t>1109-52</t>
  </si>
  <si>
    <t>908-48</t>
  </si>
  <si>
    <t>308-51</t>
  </si>
  <si>
    <t>1015-20</t>
  </si>
  <si>
    <t>added 4120 Jersey Pike Property</t>
  </si>
  <si>
    <t>10260 McKee Drive and 10638 Apison Pike</t>
  </si>
  <si>
    <t>1015-54</t>
  </si>
  <si>
    <t>127D-B-001.15; Per 038690</t>
  </si>
  <si>
    <t>135E-N-004; Per 031069</t>
  </si>
  <si>
    <t>130-001-.33; Per 046992</t>
  </si>
  <si>
    <t>145D-B-008, 012; Per 045379</t>
  </si>
  <si>
    <t>146H-E-001; Per 045380</t>
  </si>
  <si>
    <t>127L-A-022.01; 023; 135F-A-005; 003; Per 046890</t>
  </si>
  <si>
    <t>YANFENG US AUTOMOTIVE INTERIOR SYSTEMS I LLC PROJECT</t>
  </si>
  <si>
    <t>Investment, jobs and wage projection are for period between 09/01/15 and 09/01/18; Minimum jobs requirement - 260</t>
  </si>
  <si>
    <t>116-27</t>
  </si>
  <si>
    <t>ECG CHESTNUT, LP</t>
  </si>
  <si>
    <t>2108 Chestnut Street</t>
  </si>
  <si>
    <t>1116-3</t>
  </si>
  <si>
    <t>174 one and two bedroom units for low income housing</t>
  </si>
  <si>
    <t>145E-P-005 L000; Per 047000</t>
  </si>
  <si>
    <t>138O-B-001.03; Per 047001</t>
  </si>
  <si>
    <t>132-002.13; Per 048602</t>
  </si>
  <si>
    <t>135M-G-008; Per 048858</t>
  </si>
  <si>
    <t>135M-B-008 L001; Per 043664</t>
  </si>
  <si>
    <t>145CB-A-005-L000</t>
  </si>
  <si>
    <t>721 Broad Street</t>
  </si>
  <si>
    <t>1216-31</t>
  </si>
  <si>
    <t>STANDARD COOSA LOFTS, LLC</t>
  </si>
  <si>
    <t>RIVER VIEW HOUSING ASSOCIATES, L.P.  (JAYCEE TOWER)</t>
  </si>
  <si>
    <t>1216-8</t>
  </si>
  <si>
    <t>500 W. MLK Blvd</t>
  </si>
  <si>
    <t>100% of dwelling units will be for lower income households</t>
  </si>
  <si>
    <t>Investment Commitment</t>
  </si>
  <si>
    <t>CHATTANOOGA HOUSING AUTHORITY</t>
  </si>
  <si>
    <t>Renovation of Jaycee Towers for low to moderate income elderly tenants.</t>
  </si>
  <si>
    <t>BREAD FACTORY, LLC</t>
  </si>
  <si>
    <t>AMAZON.COM - COLE ID CHATT US REAL ESTATE</t>
  </si>
  <si>
    <t>ASTEC - HEATEC, INC.</t>
  </si>
  <si>
    <t>ASTEC - ROADTEC, INC.</t>
  </si>
  <si>
    <t>BLUE CROSS BLUE SHIELD OF TN INC</t>
  </si>
  <si>
    <t>1 &amp; 23 Cameron Hill Cir &amp; 505 E MLK Blvd</t>
  </si>
  <si>
    <t>135N-B-005, 005.01, 005.02; Per 031074</t>
  </si>
  <si>
    <t>305-34</t>
  </si>
  <si>
    <t>HOMESERVE USA CORP</t>
  </si>
  <si>
    <t>517-30</t>
  </si>
  <si>
    <t>TSO CHATTANOOGA DEVELOPMENT, LP</t>
  </si>
  <si>
    <t>700 Market Street</t>
  </si>
  <si>
    <t>815-19</t>
  </si>
  <si>
    <t>125 residental rental units plus retail and office space and parking structure, must reserve at least 20% of available units for lower income persons</t>
  </si>
  <si>
    <t>6093 Relocation Way</t>
  </si>
  <si>
    <t>51 Lost Mound Drive, Suite 115</t>
  </si>
  <si>
    <t>Combined commitments for this project and Map 139-074</t>
  </si>
  <si>
    <t>Combined commitments for this project and Per 040158</t>
  </si>
  <si>
    <t>Combined commitments for Astec, Heatec and Roadtec.</t>
  </si>
  <si>
    <t>Has an Optional Expansion clause.  Notice must be provided on or before 07/01/18</t>
  </si>
  <si>
    <t>Has an Optional Expansion clause.  Notice must be provided on or before 06/30/17</t>
  </si>
  <si>
    <t>Combined commitments for this project and Per 039927</t>
  </si>
  <si>
    <t>Combined commitments for this project and 127-K-A-001.19</t>
  </si>
  <si>
    <t>145F-J-003; Per 048861</t>
  </si>
  <si>
    <t>2017 City taxes billed</t>
  </si>
  <si>
    <t>2017 County taxes billed</t>
  </si>
  <si>
    <t>2017 School taxes billed</t>
  </si>
  <si>
    <t>130-001.34; Per 048704</t>
  </si>
  <si>
    <t>145DA-D-010; Per 048428</t>
  </si>
  <si>
    <t>Per agreement, City will receive Stormwater Fee, and HCDE will receive 100% of School tax due less City Stormwater Fee.</t>
  </si>
  <si>
    <t>NOTE: PILOT agreements for companies shaded in BLUE have been approved by each of the County and City legislative bodies, but the agreements have not become effective as of Tax Year 2017.</t>
  </si>
  <si>
    <t>7463 Bonnyshire Drive</t>
  </si>
  <si>
    <t>Per 050278</t>
  </si>
  <si>
    <t>130-001.25; Per 038692</t>
  </si>
  <si>
    <t>130-001.26; 138I-A-003;         Per 049271; Per 048703</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</si>
</sst>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_(* #,##0.0000_);_(* \(#,##0.0000\);_(* &quot;-&quot;??_);_(@_)"/>
    <numFmt numFmtId="167" formatCode="_(* #,##0_);_(* \(#,##0\);_(* &quot;-&quot;??_);_(@_)"/>
  </numFmts>
  <fonts count="18" x14ac:knownFonts="1">
    <font>
      <sz val="10"/>
      <name val="Arial"/>
    </font>
    <font>
      <b/>
      <sz val="10"/>
      <name val="Arial"/>
      <family val="2"/>
    </font>
    <font>
      <b/>
      <u/>
      <sz val="10"/>
      <name val="Arial"/>
      <family val="2"/>
    </font>
    <font>
      <b/>
      <u/>
      <sz val="10"/>
      <name val="Arial"/>
      <family val="2"/>
    </font>
    <font>
      <sz val="10"/>
      <color rgb="FF000000"/>
      <name val="Arial"/>
      <family val="2"/>
    </font>
    <font>
      <sz val="10"/>
      <name val="Arial"/>
      <family val="2"/>
    </font>
    <font>
      <b/>
      <u/>
      <sz val="10"/>
      <name val="Arial"/>
      <family val="2"/>
    </font>
    <font>
      <b/>
      <sz val="10"/>
      <name val="Arial"/>
      <family val="2"/>
    </font>
    <font>
      <i/>
      <sz val="10"/>
      <name val="Arial"/>
      <family val="2"/>
    </font>
    <font>
      <b/>
      <u/>
      <sz val="14"/>
      <name val="Arial"/>
      <family val="2"/>
    </font>
    <font>
      <u/>
      <sz val="10"/>
      <color theme="10"/>
      <name val="Arial"/>
      <family val="2"/>
    </font>
    <font>
      <b/>
      <sz val="10"/>
      <color rgb="FF000000"/>
      <name val="Arial"/>
      <family val="2"/>
    </font>
    <font>
      <u/>
      <sz val="10"/>
      <color theme="10"/>
      <name val="Arial"/>
      <family val="2"/>
    </font>
    <font>
      <sz val="9"/>
      <name val="Arial"/>
      <family val="2"/>
    </font>
    <font>
      <b/>
      <u/>
      <sz val="10"/>
      <color rgb="FFFF0000"/>
      <name val="Arial"/>
      <family val="2"/>
    </font>
    <font>
      <b/>
      <sz val="10"/>
      <color rgb="FFFF0000"/>
      <name val="Arial"/>
      <family val="2"/>
    </font>
    <font>
      <sz val="10"/>
      <name val="Arial"/>
      <family val="2"/>
    </font>
    <font>
      <sz val="10"/>
      <name val="Arial"/>
      <family val="2"/>
    </font>
  </fonts>
  <fills count="13">
    <fill>
      <patternFill patternType="none"/>
    </fill>
    <fill>
      <patternFill patternType="gray125"/>
    </fill>
    <fill>
      <patternFill patternType="solid">
        <fgColor rgb="FFF9CB9C"/>
        <bgColor rgb="FFF9CB9C"/>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79998168889431442"/>
        <bgColor rgb="FFFFD966"/>
      </patternFill>
    </fill>
    <fill>
      <patternFill patternType="solid">
        <fgColor theme="5" tint="0.79998168889431442"/>
        <bgColor rgb="FFF9CB9C"/>
      </patternFill>
    </fill>
    <fill>
      <patternFill patternType="solid">
        <fgColor theme="3" tint="0.79998168889431442"/>
        <bgColor indexed="64"/>
      </patternFill>
    </fill>
    <fill>
      <patternFill patternType="solid">
        <fgColor theme="3" tint="0.79998168889431442"/>
        <bgColor rgb="FFFFD966"/>
      </patternFill>
    </fill>
    <fill>
      <patternFill patternType="solid">
        <fgColor theme="3" tint="0.79998168889431442"/>
        <bgColor rgb="FFF9CB9C"/>
      </patternFill>
    </fill>
    <fill>
      <patternFill patternType="solid">
        <fgColor rgb="FFFF0000"/>
        <bgColor indexed="64"/>
      </patternFill>
    </fill>
    <fill>
      <patternFill patternType="solid">
        <fgColor theme="8" tint="0.59999389629810485"/>
        <bgColor indexed="64"/>
      </patternFill>
    </fill>
    <fill>
      <patternFill patternType="solid">
        <fgColor theme="7" tint="0.79998168889431442"/>
        <bgColor indexed="64"/>
      </patternFill>
    </fill>
  </fills>
  <borders count="8">
    <border>
      <left/>
      <right/>
      <top/>
      <bottom/>
      <diagonal/>
    </border>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s>
  <cellStyleXfs count="9">
    <xf numFmtId="0" fontId="0" fillId="0" borderId="0"/>
    <xf numFmtId="0" fontId="10" fillId="0" borderId="1" applyNumberFormat="0" applyFill="0" applyBorder="0" applyAlignment="0" applyProtection="0"/>
    <xf numFmtId="0" fontId="10" fillId="0" borderId="1" applyNumberFormat="0" applyFill="0" applyBorder="0" applyAlignment="0" applyProtection="0"/>
    <xf numFmtId="0" fontId="5" fillId="0" borderId="1"/>
    <xf numFmtId="0" fontId="12" fillId="0" borderId="0" applyNumberFormat="0" applyFill="0" applyBorder="0" applyAlignment="0" applyProtection="0"/>
    <xf numFmtId="43" fontId="16" fillId="0" borderId="0" applyFont="0" applyFill="0" applyBorder="0" applyAlignment="0" applyProtection="0"/>
    <xf numFmtId="44" fontId="17" fillId="0" borderId="0" applyFont="0" applyFill="0" applyBorder="0" applyAlignment="0" applyProtection="0"/>
    <xf numFmtId="0" fontId="17" fillId="0" borderId="1"/>
    <xf numFmtId="0" fontId="17" fillId="0" borderId="1"/>
  </cellStyleXfs>
  <cellXfs count="254">
    <xf numFmtId="0" fontId="0" fillId="0" borderId="0" xfId="0"/>
    <xf numFmtId="41" fontId="0" fillId="0" borderId="0" xfId="0" applyNumberFormat="1"/>
    <xf numFmtId="165" fontId="8" fillId="0" borderId="0" xfId="0" applyNumberFormat="1" applyFont="1" applyFill="1"/>
    <xf numFmtId="41" fontId="0" fillId="0" borderId="0" xfId="0" applyNumberFormat="1" applyFill="1"/>
    <xf numFmtId="165" fontId="8" fillId="0" borderId="1" xfId="0" applyNumberFormat="1" applyFont="1" applyFill="1" applyBorder="1"/>
    <xf numFmtId="41" fontId="7" fillId="0" borderId="1" xfId="0" applyNumberFormat="1" applyFont="1" applyFill="1" applyBorder="1" applyAlignment="1">
      <alignment horizontal="centerContinuous"/>
    </xf>
    <xf numFmtId="41" fontId="0" fillId="0" borderId="1" xfId="0" applyNumberFormat="1" applyFill="1" applyBorder="1"/>
    <xf numFmtId="41" fontId="7" fillId="3" borderId="2" xfId="0" applyNumberFormat="1" applyFont="1" applyFill="1" applyBorder="1" applyAlignment="1">
      <alignment horizontal="centerContinuous"/>
    </xf>
    <xf numFmtId="0" fontId="2" fillId="0" borderId="1" xfId="0" applyFont="1" applyBorder="1" applyAlignment="1">
      <alignment horizontal="center" wrapText="1"/>
    </xf>
    <xf numFmtId="41" fontId="2" fillId="0" borderId="1" xfId="0" applyNumberFormat="1" applyFont="1" applyBorder="1" applyAlignment="1">
      <alignment horizontal="center" wrapText="1"/>
    </xf>
    <xf numFmtId="41" fontId="2" fillId="3" borderId="1" xfId="0" applyNumberFormat="1" applyFont="1" applyFill="1" applyBorder="1" applyAlignment="1">
      <alignment horizontal="center" wrapText="1"/>
    </xf>
    <xf numFmtId="41" fontId="6" fillId="3" borderId="1" xfId="0" applyNumberFormat="1" applyFont="1" applyFill="1" applyBorder="1" applyAlignment="1">
      <alignment horizontal="center" wrapText="1"/>
    </xf>
    <xf numFmtId="41" fontId="2" fillId="0" borderId="1" xfId="0" applyNumberFormat="1" applyFont="1" applyFill="1" applyBorder="1" applyAlignment="1">
      <alignment horizontal="center" wrapText="1"/>
    </xf>
    <xf numFmtId="41" fontId="2" fillId="5" borderId="1" xfId="0" applyNumberFormat="1" applyFont="1" applyFill="1" applyBorder="1" applyAlignment="1">
      <alignment horizontal="center" wrapText="1"/>
    </xf>
    <xf numFmtId="14" fontId="2" fillId="0" borderId="1" xfId="0" applyNumberFormat="1" applyFont="1" applyBorder="1" applyAlignment="1">
      <alignment horizontal="center" wrapText="1"/>
    </xf>
    <xf numFmtId="0" fontId="0" fillId="0" borderId="0" xfId="0" applyAlignment="1">
      <alignment wrapText="1"/>
    </xf>
    <xf numFmtId="0" fontId="2" fillId="0" borderId="1" xfId="0" applyFont="1" applyFill="1" applyBorder="1" applyAlignment="1">
      <alignment horizontal="center" wrapText="1"/>
    </xf>
    <xf numFmtId="14" fontId="2" fillId="0" borderId="1" xfId="0" applyNumberFormat="1" applyFont="1" applyFill="1" applyBorder="1" applyAlignment="1">
      <alignment horizontal="center" wrapText="1"/>
    </xf>
    <xf numFmtId="41" fontId="6" fillId="0" borderId="1" xfId="0" applyNumberFormat="1" applyFont="1" applyFill="1" applyBorder="1" applyAlignment="1">
      <alignment horizontal="center" wrapText="1"/>
    </xf>
    <xf numFmtId="0" fontId="0" fillId="0" borderId="0" xfId="0" applyFill="1" applyAlignment="1">
      <alignment wrapText="1"/>
    </xf>
    <xf numFmtId="0" fontId="9" fillId="0" borderId="1" xfId="0" applyFont="1" applyFill="1" applyBorder="1" applyAlignment="1">
      <alignment horizontal="left"/>
    </xf>
    <xf numFmtId="41" fontId="2" fillId="8" borderId="1" xfId="0" applyNumberFormat="1" applyFont="1" applyFill="1" applyBorder="1" applyAlignment="1">
      <alignment horizontal="center" wrapText="1"/>
    </xf>
    <xf numFmtId="41" fontId="6" fillId="7" borderId="1" xfId="0" applyNumberFormat="1" applyFont="1" applyFill="1" applyBorder="1" applyAlignment="1">
      <alignment horizontal="center" wrapText="1"/>
    </xf>
    <xf numFmtId="41" fontId="3" fillId="7" borderId="1" xfId="0" applyNumberFormat="1" applyFont="1" applyFill="1" applyBorder="1" applyAlignment="1">
      <alignment horizontal="center" wrapText="1"/>
    </xf>
    <xf numFmtId="41" fontId="2" fillId="7" borderId="1" xfId="0" applyNumberFormat="1" applyFont="1" applyFill="1" applyBorder="1" applyAlignment="1">
      <alignment horizontal="center" wrapText="1"/>
    </xf>
    <xf numFmtId="0" fontId="0" fillId="0" borderId="0" xfId="0" applyFill="1"/>
    <xf numFmtId="41" fontId="11" fillId="4" borderId="3" xfId="0" applyNumberFormat="1" applyFont="1" applyFill="1" applyBorder="1" applyAlignment="1">
      <alignment horizontal="center"/>
    </xf>
    <xf numFmtId="0" fontId="2" fillId="10" borderId="1" xfId="0" applyFont="1" applyFill="1" applyBorder="1" applyAlignment="1">
      <alignment horizontal="center" wrapText="1"/>
    </xf>
    <xf numFmtId="41" fontId="11" fillId="7" borderId="3" xfId="0" applyNumberFormat="1" applyFont="1" applyFill="1" applyBorder="1" applyAlignment="1">
      <alignment horizontal="center"/>
    </xf>
    <xf numFmtId="41" fontId="11" fillId="3" borderId="3" xfId="0" applyNumberFormat="1" applyFont="1" applyFill="1" applyBorder="1" applyAlignment="1">
      <alignment horizontal="center"/>
    </xf>
    <xf numFmtId="0" fontId="0" fillId="0" borderId="0" xfId="0" applyAlignment="1">
      <alignment horizontal="left"/>
    </xf>
    <xf numFmtId="0" fontId="2" fillId="0" borderId="1" xfId="0" applyFont="1" applyFill="1" applyBorder="1" applyAlignment="1">
      <alignment horizontal="left" wrapText="1"/>
    </xf>
    <xf numFmtId="0" fontId="0" fillId="0" borderId="0" xfId="0" applyFill="1" applyAlignment="1">
      <alignment horizontal="left"/>
    </xf>
    <xf numFmtId="5" fontId="2" fillId="0" borderId="1" xfId="0" applyNumberFormat="1" applyFont="1" applyFill="1" applyBorder="1" applyAlignment="1">
      <alignment horizontal="center" wrapText="1"/>
    </xf>
    <xf numFmtId="0" fontId="0" fillId="0" borderId="0" xfId="0" applyFill="1" applyAlignment="1">
      <alignment horizontal="left" wrapText="1"/>
    </xf>
    <xf numFmtId="5" fontId="0" fillId="0" borderId="0" xfId="0" applyNumberFormat="1" applyAlignment="1">
      <alignment horizontal="center"/>
    </xf>
    <xf numFmtId="5" fontId="0" fillId="0" borderId="0" xfId="0" applyNumberFormat="1" applyFill="1" applyAlignment="1">
      <alignment horizontal="center"/>
    </xf>
    <xf numFmtId="41" fontId="14" fillId="0" borderId="1" xfId="0" applyNumberFormat="1" applyFont="1" applyFill="1" applyBorder="1" applyAlignment="1">
      <alignment horizontal="center" wrapText="1"/>
    </xf>
    <xf numFmtId="41" fontId="15" fillId="0" borderId="0" xfId="0" applyNumberFormat="1" applyFont="1" applyFill="1"/>
    <xf numFmtId="43" fontId="2" fillId="0" borderId="1" xfId="0" applyNumberFormat="1" applyFont="1" applyFill="1" applyBorder="1" applyAlignment="1">
      <alignment horizontal="center" wrapText="1"/>
    </xf>
    <xf numFmtId="41" fontId="1" fillId="0" borderId="1" xfId="0" applyNumberFormat="1" applyFont="1" applyFill="1" applyBorder="1" applyAlignment="1">
      <alignment horizontal="center"/>
    </xf>
    <xf numFmtId="0" fontId="0" fillId="0" borderId="0" xfId="0" applyFill="1" applyAlignment="1">
      <alignment horizontal="center"/>
    </xf>
    <xf numFmtId="41" fontId="0" fillId="0" borderId="1" xfId="0" applyNumberFormat="1" applyFill="1" applyBorder="1" applyAlignment="1">
      <alignment horizontal="center"/>
    </xf>
    <xf numFmtId="0" fontId="0" fillId="11" borderId="0" xfId="0" applyFill="1" applyAlignment="1"/>
    <xf numFmtId="0" fontId="5" fillId="0" borderId="5"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xf>
    <xf numFmtId="14" fontId="10" fillId="0" borderId="5" xfId="2" applyNumberFormat="1" applyBorder="1" applyAlignment="1">
      <alignment horizontal="center" vertical="top"/>
    </xf>
    <xf numFmtId="41"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3" fontId="5" fillId="0" borderId="5" xfId="0" applyNumberFormat="1" applyFont="1" applyBorder="1" applyAlignment="1">
      <alignment horizontal="right" vertical="top"/>
    </xf>
    <xf numFmtId="5" fontId="5" fillId="0" borderId="5" xfId="0" applyNumberFormat="1" applyFont="1" applyFill="1" applyBorder="1" applyAlignment="1">
      <alignment horizontal="center" vertical="top" wrapText="1"/>
    </xf>
    <xf numFmtId="164" fontId="5" fillId="0" borderId="5" xfId="0" applyNumberFormat="1" applyFont="1" applyFill="1" applyBorder="1" applyAlignment="1">
      <alignment horizontal="left" vertical="top" wrapText="1"/>
    </xf>
    <xf numFmtId="41" fontId="5" fillId="0" borderId="5" xfId="0" applyNumberFormat="1" applyFont="1" applyBorder="1" applyAlignment="1">
      <alignment horizontal="center" vertical="top"/>
    </xf>
    <xf numFmtId="41" fontId="5" fillId="3" borderId="5" xfId="0" applyNumberFormat="1" applyFont="1" applyFill="1" applyBorder="1" applyAlignment="1">
      <alignment horizontal="center" vertical="top"/>
    </xf>
    <xf numFmtId="41" fontId="5" fillId="7" borderId="5" xfId="0" applyNumberFormat="1" applyFont="1" applyFill="1" applyBorder="1" applyAlignment="1">
      <alignment horizontal="center" vertical="top"/>
    </xf>
    <xf numFmtId="41" fontId="5" fillId="9" borderId="5" xfId="0" applyNumberFormat="1" applyFont="1" applyFill="1" applyBorder="1" applyAlignment="1">
      <alignment horizontal="center" vertical="top"/>
    </xf>
    <xf numFmtId="41" fontId="4" fillId="4" borderId="5" xfId="0" applyNumberFormat="1" applyFont="1" applyFill="1" applyBorder="1" applyAlignment="1">
      <alignment horizontal="center" vertical="top"/>
    </xf>
    <xf numFmtId="41" fontId="4" fillId="6" borderId="5" xfId="0" applyNumberFormat="1" applyFont="1" applyFill="1" applyBorder="1" applyAlignment="1">
      <alignment horizontal="center" vertical="top"/>
    </xf>
    <xf numFmtId="41" fontId="4" fillId="6" borderId="5" xfId="5" applyNumberFormat="1" applyFont="1" applyFill="1" applyBorder="1" applyAlignment="1">
      <alignment horizontal="center" vertical="top"/>
    </xf>
    <xf numFmtId="0" fontId="5" fillId="0" borderId="0" xfId="0" applyFont="1" applyAlignment="1">
      <alignment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xf>
    <xf numFmtId="0" fontId="5" fillId="0" borderId="6" xfId="0" applyFont="1" applyBorder="1" applyAlignment="1">
      <alignment horizontal="center" vertical="top" wrapText="1"/>
    </xf>
    <xf numFmtId="14" fontId="5" fillId="0" borderId="6" xfId="0" applyNumberFormat="1" applyFont="1" applyBorder="1" applyAlignment="1">
      <alignment horizontal="center" vertical="top"/>
    </xf>
    <xf numFmtId="14" fontId="10" fillId="0" borderId="6" xfId="2" applyNumberFormat="1" applyBorder="1" applyAlignment="1">
      <alignment horizontal="center" vertical="top"/>
    </xf>
    <xf numFmtId="41" fontId="5" fillId="0" borderId="6" xfId="0" applyNumberFormat="1" applyFont="1" applyFill="1" applyBorder="1" applyAlignment="1">
      <alignment horizontal="center" vertical="top"/>
    </xf>
    <xf numFmtId="0" fontId="5" fillId="0" borderId="6" xfId="0" applyFont="1" applyFill="1" applyBorder="1" applyAlignment="1">
      <alignment horizontal="center" vertical="top"/>
    </xf>
    <xf numFmtId="3" fontId="5" fillId="0" borderId="6" xfId="0" applyNumberFormat="1" applyFont="1" applyBorder="1" applyAlignment="1">
      <alignment horizontal="right" vertical="top" wrapText="1"/>
    </xf>
    <xf numFmtId="5" fontId="5" fillId="0" borderId="6" xfId="0" applyNumberFormat="1" applyFont="1" applyFill="1" applyBorder="1" applyAlignment="1">
      <alignment horizontal="center" vertical="top" wrapText="1"/>
    </xf>
    <xf numFmtId="164" fontId="5" fillId="0" borderId="6" xfId="0" applyNumberFormat="1" applyFont="1" applyFill="1" applyBorder="1" applyAlignment="1">
      <alignment horizontal="left" vertical="top" wrapText="1"/>
    </xf>
    <xf numFmtId="41" fontId="5" fillId="0" borderId="6" xfId="0" applyNumberFormat="1" applyFont="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0" fontId="4" fillId="0" borderId="6" xfId="0" applyFont="1" applyBorder="1" applyAlignment="1">
      <alignment horizontal="center" vertical="top"/>
    </xf>
    <xf numFmtId="0" fontId="4" fillId="0" borderId="6" xfId="0" applyFont="1" applyBorder="1" applyAlignment="1">
      <alignment horizontal="center" vertical="top" wrapText="1"/>
    </xf>
    <xf numFmtId="14" fontId="4" fillId="0" borderId="6" xfId="0" applyNumberFormat="1" applyFont="1" applyBorder="1" applyAlignment="1">
      <alignment horizontal="center" vertical="top"/>
    </xf>
    <xf numFmtId="14" fontId="10" fillId="12" borderId="6" xfId="2" applyNumberFormat="1" applyFill="1" applyBorder="1" applyAlignment="1">
      <alignment horizontal="center" vertical="top"/>
    </xf>
    <xf numFmtId="0" fontId="4" fillId="0" borderId="6" xfId="0" applyFont="1" applyFill="1" applyBorder="1" applyAlignment="1">
      <alignment horizontal="center" vertical="top"/>
    </xf>
    <xf numFmtId="0" fontId="5" fillId="0" borderId="6" xfId="0" applyFont="1" applyBorder="1" applyAlignment="1">
      <alignment horizontal="right" vertical="top" wrapText="1"/>
    </xf>
    <xf numFmtId="167" fontId="5" fillId="9"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4" fontId="5" fillId="0" borderId="1" xfId="0" applyNumberFormat="1" applyFont="1" applyBorder="1" applyAlignment="1">
      <alignment horizontal="center" vertical="top"/>
    </xf>
    <xf numFmtId="14" fontId="10" fillId="0" borderId="1" xfId="2" applyNumberFormat="1" applyBorder="1" applyAlignment="1">
      <alignment horizontal="center" vertical="top"/>
    </xf>
    <xf numFmtId="41" fontId="5" fillId="0" borderId="1" xfId="0" applyNumberFormat="1" applyFont="1" applyFill="1" applyBorder="1" applyAlignment="1">
      <alignment horizontal="center" vertical="top"/>
    </xf>
    <xf numFmtId="0" fontId="4" fillId="0" borderId="1" xfId="0" applyFont="1" applyBorder="1" applyAlignment="1">
      <alignment horizontal="center" vertical="top"/>
    </xf>
    <xf numFmtId="14" fontId="4" fillId="0" borderId="1" xfId="0" applyNumberFormat="1" applyFont="1" applyBorder="1" applyAlignment="1">
      <alignment horizontal="center" vertical="top"/>
    </xf>
    <xf numFmtId="14" fontId="10" fillId="0" borderId="1" xfId="2" applyNumberFormat="1" applyFill="1" applyBorder="1" applyAlignment="1">
      <alignment horizontal="center" vertical="top"/>
    </xf>
    <xf numFmtId="0" fontId="4" fillId="0" borderId="1" xfId="0" applyFont="1" applyFill="1" applyBorder="1" applyAlignment="1">
      <alignment horizontal="center" vertical="top"/>
    </xf>
    <xf numFmtId="0" fontId="5" fillId="0" borderId="1" xfId="0" applyFont="1" applyBorder="1" applyAlignment="1">
      <alignment horizontal="right" vertical="top" wrapText="1"/>
    </xf>
    <xf numFmtId="5" fontId="5"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41" fontId="4" fillId="0" borderId="1" xfId="0" applyNumberFormat="1" applyFont="1" applyBorder="1" applyAlignment="1">
      <alignment horizontal="center" vertical="top" wrapText="1"/>
    </xf>
    <xf numFmtId="41" fontId="5" fillId="3" borderId="1" xfId="0" applyNumberFormat="1" applyFont="1" applyFill="1" applyBorder="1" applyAlignment="1">
      <alignment horizontal="center" vertical="top"/>
    </xf>
    <xf numFmtId="167" fontId="5" fillId="7" borderId="1" xfId="0" applyNumberFormat="1" applyFont="1" applyFill="1" applyBorder="1" applyAlignment="1">
      <alignment horizontal="center" vertical="top"/>
    </xf>
    <xf numFmtId="41" fontId="5" fillId="7" borderId="1" xfId="0" applyNumberFormat="1" applyFont="1" applyFill="1" applyBorder="1" applyAlignment="1">
      <alignment horizontal="center" vertical="top"/>
    </xf>
    <xf numFmtId="41" fontId="4" fillId="4" borderId="1" xfId="0" applyNumberFormat="1" applyFont="1" applyFill="1" applyBorder="1" applyAlignment="1">
      <alignment horizontal="center" vertical="top"/>
    </xf>
    <xf numFmtId="0" fontId="5" fillId="0" borderId="6" xfId="0" applyFont="1" applyBorder="1" applyAlignment="1">
      <alignment horizontal="right" vertical="top"/>
    </xf>
    <xf numFmtId="41" fontId="5" fillId="0" borderId="6" xfId="0" applyNumberFormat="1" applyFont="1" applyFill="1" applyBorder="1" applyAlignment="1">
      <alignment horizontal="center" vertical="top" wrapText="1"/>
    </xf>
    <xf numFmtId="41" fontId="4" fillId="9" borderId="6" xfId="0" applyNumberFormat="1" applyFont="1" applyFill="1" applyBorder="1" applyAlignment="1">
      <alignment horizontal="center" vertical="top"/>
    </xf>
    <xf numFmtId="14" fontId="5" fillId="0" borderId="6" xfId="0" applyNumberFormat="1" applyFont="1" applyFill="1" applyBorder="1" applyAlignment="1">
      <alignment horizontal="center" vertical="top"/>
    </xf>
    <xf numFmtId="0" fontId="5" fillId="2" borderId="6" xfId="0" applyFont="1" applyFill="1" applyBorder="1" applyAlignment="1">
      <alignment horizontal="center" vertical="top"/>
    </xf>
    <xf numFmtId="0" fontId="5" fillId="11" borderId="6" xfId="0" applyFont="1" applyFill="1" applyBorder="1" applyAlignment="1">
      <alignment vertical="top" wrapText="1"/>
    </xf>
    <xf numFmtId="0" fontId="5" fillId="11" borderId="6" xfId="0" applyFont="1" applyFill="1" applyBorder="1" applyAlignment="1">
      <alignment vertical="top"/>
    </xf>
    <xf numFmtId="0" fontId="5" fillId="11" borderId="6" xfId="0" applyFont="1" applyFill="1" applyBorder="1" applyAlignment="1">
      <alignment horizontal="center" vertical="top"/>
    </xf>
    <xf numFmtId="0" fontId="5" fillId="11" borderId="6" xfId="0" applyFont="1" applyFill="1" applyBorder="1" applyAlignment="1">
      <alignment horizontal="center" vertical="top" wrapText="1"/>
    </xf>
    <xf numFmtId="14" fontId="12" fillId="0" borderId="6" xfId="4" applyNumberFormat="1" applyBorder="1" applyAlignment="1">
      <alignment horizontal="center" vertical="top"/>
    </xf>
    <xf numFmtId="14" fontId="5" fillId="0" borderId="6" xfId="0" applyNumberFormat="1" applyFont="1" applyBorder="1" applyAlignment="1">
      <alignment horizontal="center" vertical="top" wrapText="1"/>
    </xf>
    <xf numFmtId="41" fontId="5" fillId="9" borderId="6" xfId="0" quotePrefix="1" applyNumberFormat="1" applyFont="1" applyFill="1" applyBorder="1" applyAlignment="1">
      <alignment horizontal="center" vertical="top"/>
    </xf>
    <xf numFmtId="166" fontId="5" fillId="0" borderId="0" xfId="0" applyNumberFormat="1" applyFont="1" applyAlignment="1">
      <alignment vertical="top"/>
    </xf>
    <xf numFmtId="44" fontId="5" fillId="0" borderId="0" xfId="6" applyFont="1" applyAlignment="1">
      <alignment vertical="top"/>
    </xf>
    <xf numFmtId="0" fontId="4" fillId="0" borderId="6" xfId="0" applyFont="1" applyFill="1" applyBorder="1" applyAlignment="1">
      <alignment horizontal="left" vertical="top" wrapText="1"/>
    </xf>
    <xf numFmtId="14" fontId="12" fillId="12" borderId="6" xfId="4" applyNumberFormat="1" applyFill="1" applyBorder="1" applyAlignment="1">
      <alignment horizontal="center" vertical="top"/>
    </xf>
    <xf numFmtId="3" fontId="5" fillId="0" borderId="6" xfId="0" applyNumberFormat="1" applyFont="1" applyBorder="1" applyAlignment="1">
      <alignment horizontal="right" vertical="top"/>
    </xf>
    <xf numFmtId="0" fontId="9" fillId="0" borderId="6" xfId="0" applyFont="1" applyFill="1" applyBorder="1" applyAlignment="1">
      <alignment horizontal="left" vertical="top"/>
    </xf>
    <xf numFmtId="0" fontId="2" fillId="0" borderId="6" xfId="0" applyFont="1" applyFill="1" applyBorder="1" applyAlignment="1">
      <alignment horizontal="center" vertical="top" wrapText="1"/>
    </xf>
    <xf numFmtId="14" fontId="2" fillId="0" borderId="6" xfId="0" applyNumberFormat="1" applyFont="1" applyFill="1" applyBorder="1" applyAlignment="1">
      <alignment horizontal="center" vertical="top" wrapText="1"/>
    </xf>
    <xf numFmtId="41" fontId="2" fillId="0" borderId="6" xfId="0" applyNumberFormat="1" applyFont="1" applyFill="1" applyBorder="1" applyAlignment="1">
      <alignment horizontal="center" vertical="top" wrapText="1"/>
    </xf>
    <xf numFmtId="5" fontId="2" fillId="0" borderId="6"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41" fontId="6" fillId="0" borderId="6" xfId="0" applyNumberFormat="1" applyFont="1" applyFill="1" applyBorder="1" applyAlignment="1">
      <alignment horizontal="center" vertical="top" wrapText="1"/>
    </xf>
    <xf numFmtId="41" fontId="3" fillId="0" borderId="6" xfId="0" applyNumberFormat="1" applyFont="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5" fillId="0" borderId="6" xfId="0" applyFont="1" applyFill="1" applyBorder="1" applyAlignment="1">
      <alignment horizontal="lef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5" fillId="0" borderId="7" xfId="0" applyNumberFormat="1" applyFont="1" applyFill="1" applyBorder="1" applyAlignment="1">
      <alignment horizontal="center" vertical="top"/>
    </xf>
    <xf numFmtId="0" fontId="5" fillId="0" borderId="7" xfId="0" applyFont="1" applyBorder="1" applyAlignment="1">
      <alignment horizontal="center" vertical="top" wrapText="1"/>
    </xf>
    <xf numFmtId="14" fontId="5" fillId="0" borderId="7" xfId="0" applyNumberFormat="1" applyFont="1" applyBorder="1" applyAlignment="1">
      <alignment horizontal="center" vertical="top" wrapText="1"/>
    </xf>
    <xf numFmtId="14" fontId="12" fillId="0" borderId="7" xfId="4" applyNumberFormat="1" applyBorder="1" applyAlignment="1">
      <alignment horizontal="center" vertical="top"/>
    </xf>
    <xf numFmtId="0" fontId="5" fillId="0" borderId="6" xfId="0" applyFont="1" applyFill="1" applyBorder="1" applyAlignment="1">
      <alignment horizontal="center" vertical="top"/>
    </xf>
    <xf numFmtId="164" fontId="5" fillId="0" borderId="7" xfId="0" applyNumberFormat="1" applyFont="1" applyFill="1" applyBorder="1" applyAlignment="1">
      <alignment horizontal="left" vertical="top" wrapText="1"/>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4" fontId="5" fillId="0" borderId="5" xfId="0" applyNumberFormat="1" applyFont="1" applyBorder="1" applyAlignment="1">
      <alignment horizontal="center" vertical="top" wrapText="1"/>
    </xf>
    <xf numFmtId="14" fontId="12" fillId="0" borderId="5" xfId="4" applyNumberFormat="1" applyBorder="1" applyAlignment="1">
      <alignment horizontal="center" vertical="top"/>
    </xf>
    <xf numFmtId="0" fontId="5" fillId="0" borderId="7" xfId="0" applyFont="1" applyBorder="1" applyAlignment="1">
      <alignment horizontal="center" vertical="top"/>
    </xf>
    <xf numFmtId="14" fontId="5" fillId="0" borderId="7" xfId="0" applyNumberFormat="1" applyFont="1" applyBorder="1" applyAlignment="1">
      <alignment horizontal="center" vertical="top"/>
    </xf>
    <xf numFmtId="41" fontId="5" fillId="0" borderId="7" xfId="0" applyNumberFormat="1" applyFont="1" applyFill="1" applyBorder="1" applyAlignment="1">
      <alignment vertical="top"/>
    </xf>
    <xf numFmtId="41" fontId="5" fillId="0" borderId="5" xfId="0" applyNumberFormat="1" applyFont="1" applyFill="1" applyBorder="1" applyAlignment="1">
      <alignment vertical="top"/>
    </xf>
    <xf numFmtId="0" fontId="5" fillId="0" borderId="0" xfId="0" applyFont="1" applyFill="1" applyAlignment="1">
      <alignment vertical="top"/>
    </xf>
    <xf numFmtId="43" fontId="5" fillId="0" borderId="0" xfId="0" applyNumberFormat="1" applyFont="1" applyFill="1" applyAlignment="1">
      <alignment vertical="top"/>
    </xf>
    <xf numFmtId="0" fontId="5" fillId="0" borderId="6" xfId="0" applyFont="1" applyFill="1" applyBorder="1" applyAlignment="1">
      <alignment horizontal="right" vertical="top"/>
    </xf>
    <xf numFmtId="41" fontId="5" fillId="3" borderId="7" xfId="0" applyNumberFormat="1" applyFont="1" applyFill="1" applyBorder="1" applyAlignment="1">
      <alignment horizontal="center" vertical="top"/>
    </xf>
    <xf numFmtId="0" fontId="5" fillId="0" borderId="6" xfId="0" applyFont="1" applyFill="1" applyBorder="1" applyAlignment="1">
      <alignment vertical="top" wrapText="1"/>
    </xf>
    <xf numFmtId="14" fontId="12" fillId="0" borderId="6" xfId="4" applyNumberFormat="1" applyBorder="1" applyAlignment="1">
      <alignment horizontal="center" vertical="top"/>
    </xf>
    <xf numFmtId="14" fontId="12" fillId="12" borderId="7" xfId="4" applyNumberFormat="1" applyFill="1" applyBorder="1" applyAlignment="1">
      <alignment horizontal="center" vertical="top"/>
    </xf>
    <xf numFmtId="43" fontId="5" fillId="0" borderId="0" xfId="0" applyNumberFormat="1" applyFont="1" applyAlignment="1">
      <alignment vertical="top"/>
    </xf>
    <xf numFmtId="0" fontId="5" fillId="0" borderId="6" xfId="0" applyFont="1" applyFill="1" applyBorder="1" applyAlignment="1">
      <alignment vertical="top"/>
    </xf>
    <xf numFmtId="5" fontId="5" fillId="0" borderId="6" xfId="0" applyNumberFormat="1" applyFont="1" applyBorder="1" applyAlignment="1">
      <alignment horizontal="center" vertical="top"/>
    </xf>
    <xf numFmtId="0" fontId="5" fillId="0" borderId="6" xfId="0" applyFont="1" applyBorder="1" applyAlignment="1">
      <alignment horizontal="left" vertical="top" wrapText="1"/>
    </xf>
    <xf numFmtId="41" fontId="5" fillId="0" borderId="6" xfId="0" applyNumberFormat="1" applyFont="1" applyBorder="1" applyAlignment="1">
      <alignment vertical="top"/>
    </xf>
    <xf numFmtId="167" fontId="4" fillId="9" borderId="6" xfId="0" applyNumberFormat="1" applyFont="1" applyFill="1" applyBorder="1" applyAlignment="1">
      <alignment horizontal="center" vertical="top"/>
    </xf>
    <xf numFmtId="0" fontId="5" fillId="0" borderId="6" xfId="0" applyFont="1" applyFill="1" applyBorder="1" applyAlignment="1">
      <alignment horizontal="center" vertical="top" wrapText="1"/>
    </xf>
    <xf numFmtId="14" fontId="5" fillId="0" borderId="6" xfId="0" applyNumberFormat="1" applyFont="1" applyFill="1" applyBorder="1" applyAlignment="1">
      <alignment horizontal="center" vertical="top" wrapText="1"/>
    </xf>
    <xf numFmtId="41" fontId="13" fillId="0" borderId="6" xfId="0" applyNumberFormat="1" applyFont="1" applyBorder="1" applyAlignment="1">
      <alignment horizontal="left" vertical="top" wrapText="1"/>
    </xf>
    <xf numFmtId="41" fontId="5" fillId="7" borderId="6" xfId="0" applyNumberFormat="1" applyFont="1" applyFill="1" applyBorder="1" applyAlignment="1">
      <alignment horizontal="center" vertical="top" wrapText="1"/>
    </xf>
    <xf numFmtId="0" fontId="5" fillId="0" borderId="0" xfId="0" applyFont="1" applyFill="1" applyAlignment="1">
      <alignment vertical="top" wrapText="1"/>
    </xf>
    <xf numFmtId="0" fontId="5" fillId="0" borderId="6" xfId="0" applyFont="1" applyFill="1" applyBorder="1" applyAlignment="1">
      <alignment horizontal="right" vertical="top" wrapText="1"/>
    </xf>
    <xf numFmtId="14" fontId="12" fillId="0" borderId="6" xfId="4" applyNumberFormat="1" applyFill="1" applyBorder="1" applyAlignment="1">
      <alignment horizontal="center" vertical="top"/>
    </xf>
    <xf numFmtId="164" fontId="13" fillId="0" borderId="6" xfId="0" applyNumberFormat="1" applyFont="1" applyFill="1" applyBorder="1" applyAlignment="1">
      <alignment horizontal="left" vertical="top" wrapText="1"/>
    </xf>
    <xf numFmtId="14" fontId="10" fillId="0" borderId="6" xfId="2" applyNumberFormat="1" applyFill="1" applyBorder="1" applyAlignment="1">
      <alignment horizontal="center" vertical="top"/>
    </xf>
    <xf numFmtId="0" fontId="0" fillId="11" borderId="6" xfId="0" applyFill="1" applyBorder="1" applyAlignment="1">
      <alignment vertical="top" wrapText="1"/>
    </xf>
    <xf numFmtId="14" fontId="0" fillId="0" borderId="6" xfId="0" applyNumberFormat="1" applyFill="1" applyBorder="1" applyAlignment="1">
      <alignment horizontal="center" vertical="top"/>
    </xf>
    <xf numFmtId="0" fontId="12" fillId="0" borderId="6" xfId="4" applyFill="1" applyBorder="1" applyAlignment="1">
      <alignment horizontal="center" vertical="top"/>
    </xf>
    <xf numFmtId="0" fontId="5" fillId="0" borderId="1" xfId="0" applyFont="1" applyFill="1" applyBorder="1" applyAlignment="1">
      <alignment horizontal="center" vertical="top"/>
    </xf>
    <xf numFmtId="0" fontId="5" fillId="0" borderId="1" xfId="0" applyFont="1" applyFill="1" applyBorder="1" applyAlignment="1">
      <alignment horizontal="right" vertical="top" wrapText="1"/>
    </xf>
    <xf numFmtId="164" fontId="5" fillId="0" borderId="1" xfId="0" applyNumberFormat="1" applyFont="1" applyFill="1" applyBorder="1" applyAlignment="1">
      <alignment horizontal="left" vertical="top" wrapText="1"/>
    </xf>
    <xf numFmtId="41" fontId="5" fillId="0" borderId="1" xfId="0" applyNumberFormat="1" applyFont="1" applyBorder="1" applyAlignment="1">
      <alignment horizontal="center" vertical="top"/>
    </xf>
    <xf numFmtId="41" fontId="5" fillId="9" borderId="1" xfId="0" applyNumberFormat="1" applyFont="1" applyFill="1" applyBorder="1" applyAlignment="1">
      <alignment horizontal="center" vertical="top"/>
    </xf>
    <xf numFmtId="41" fontId="4" fillId="6" borderId="1" xfId="0" applyNumberFormat="1" applyFont="1" applyFill="1" applyBorder="1" applyAlignment="1">
      <alignment horizontal="center" vertical="top"/>
    </xf>
    <xf numFmtId="0" fontId="5" fillId="0" borderId="1" xfId="8" applyFont="1" applyBorder="1" applyAlignment="1">
      <alignment horizontal="center" vertical="top"/>
    </xf>
    <xf numFmtId="0" fontId="5" fillId="0" borderId="1" xfId="8" applyFont="1" applyAlignment="1"/>
    <xf numFmtId="14" fontId="5" fillId="0" borderId="1" xfId="8" applyNumberFormat="1" applyFont="1" applyBorder="1" applyAlignment="1">
      <alignment horizontal="center" vertical="top"/>
    </xf>
    <xf numFmtId="41" fontId="5" fillId="0" borderId="1" xfId="8" applyNumberFormat="1" applyFont="1" applyFill="1" applyBorder="1" applyAlignment="1">
      <alignment horizontal="center" vertical="top"/>
    </xf>
    <xf numFmtId="0" fontId="5" fillId="0" borderId="1" xfId="8" applyFont="1" applyFill="1" applyBorder="1" applyAlignment="1">
      <alignment horizontal="center" vertical="top"/>
    </xf>
    <xf numFmtId="0" fontId="5" fillId="0" borderId="1" xfId="8" applyFont="1" applyFill="1" applyBorder="1" applyAlignment="1">
      <alignment horizontal="right" vertical="top" wrapText="1"/>
    </xf>
    <xf numFmtId="5" fontId="5" fillId="0" borderId="1" xfId="8" applyNumberFormat="1" applyFont="1" applyFill="1" applyBorder="1" applyAlignment="1">
      <alignment horizontal="center" vertical="top" wrapText="1"/>
    </xf>
    <xf numFmtId="164" fontId="13" fillId="0" borderId="1" xfId="8" applyNumberFormat="1" applyFont="1" applyFill="1" applyBorder="1" applyAlignment="1">
      <alignment horizontal="left" vertical="top" wrapText="1"/>
    </xf>
    <xf numFmtId="41" fontId="5" fillId="0" borderId="1" xfId="8" applyNumberFormat="1" applyFont="1" applyBorder="1" applyAlignment="1">
      <alignment horizontal="center" vertical="top"/>
    </xf>
    <xf numFmtId="41" fontId="5" fillId="7" borderId="1" xfId="8" applyNumberFormat="1" applyFont="1" applyFill="1" applyBorder="1" applyAlignment="1">
      <alignment horizontal="center" vertical="top"/>
    </xf>
    <xf numFmtId="41" fontId="4" fillId="9" borderId="1" xfId="8" applyNumberFormat="1" applyFont="1" applyFill="1" applyBorder="1" applyAlignment="1">
      <alignment horizontal="center" vertical="top"/>
    </xf>
    <xf numFmtId="41" fontId="5" fillId="9" borderId="1" xfId="8"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0" fontId="5" fillId="0" borderId="6" xfId="0" applyFont="1" applyFill="1" applyBorder="1" applyAlignment="1">
      <alignment horizontal="left" vertical="top"/>
    </xf>
    <xf numFmtId="0" fontId="5" fillId="0" borderId="1" xfId="8" applyFont="1" applyFill="1" applyBorder="1" applyAlignment="1">
      <alignment vertical="top" wrapText="1"/>
    </xf>
    <xf numFmtId="0" fontId="5" fillId="0" borderId="1" xfId="8" applyFont="1" applyFill="1" applyBorder="1" applyAlignment="1">
      <alignment vertical="top"/>
    </xf>
    <xf numFmtId="0" fontId="5" fillId="0" borderId="1" xfId="8" applyFont="1" applyFill="1" applyBorder="1" applyAlignment="1">
      <alignment horizontal="center" vertical="top" wrapText="1"/>
    </xf>
    <xf numFmtId="0" fontId="5" fillId="0" borderId="6" xfId="0" applyFont="1" applyFill="1" applyBorder="1" applyAlignment="1">
      <alignment horizontal="center" vertical="top"/>
    </xf>
    <xf numFmtId="41" fontId="5" fillId="0" borderId="1" xfId="0" applyNumberFormat="1" applyFont="1" applyFill="1" applyBorder="1" applyAlignment="1">
      <alignment horizontal="center" vertical="top" wrapText="1"/>
    </xf>
    <xf numFmtId="41" fontId="1"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5" fillId="0" borderId="6" xfId="0" applyNumberFormat="1" applyFont="1" applyFill="1" applyBorder="1" applyAlignment="1">
      <alignment horizontal="center" vertical="top"/>
    </xf>
    <xf numFmtId="41" fontId="4" fillId="6" borderId="6" xfId="0" applyNumberFormat="1" applyFont="1" applyFill="1" applyBorder="1" applyAlignment="1">
      <alignment horizontal="center" vertical="top"/>
    </xf>
    <xf numFmtId="167" fontId="5" fillId="7" borderId="6" xfId="0" applyNumberFormat="1" applyFont="1" applyFill="1" applyBorder="1" applyAlignment="1">
      <alignment horizontal="center" vertical="top"/>
    </xf>
    <xf numFmtId="0" fontId="1" fillId="0" borderId="4" xfId="0" applyFont="1" applyBorder="1" applyAlignment="1">
      <alignment horizontal="center" wrapText="1"/>
    </xf>
    <xf numFmtId="41" fontId="5" fillId="7" borderId="2" xfId="0" applyNumberFormat="1" applyFont="1" applyFill="1" applyBorder="1" applyAlignment="1">
      <alignment horizontal="center" wrapText="1"/>
    </xf>
    <xf numFmtId="41" fontId="5" fillId="7" borderId="2" xfId="0" applyNumberFormat="1" applyFont="1" applyFill="1" applyBorder="1" applyAlignment="1">
      <alignment wrapText="1"/>
    </xf>
    <xf numFmtId="0" fontId="5" fillId="7" borderId="2" xfId="0" applyFont="1" applyFill="1" applyBorder="1" applyAlignment="1">
      <alignment wrapText="1"/>
    </xf>
    <xf numFmtId="41" fontId="1" fillId="4" borderId="2" xfId="0" applyNumberFormat="1" applyFont="1" applyFill="1" applyBorder="1" applyAlignment="1">
      <alignment horizontal="center" wrapText="1"/>
    </xf>
    <xf numFmtId="41" fontId="0" fillId="4" borderId="2" xfId="0" applyNumberFormat="1" applyFill="1" applyBorder="1" applyAlignment="1">
      <alignment wrapText="1"/>
    </xf>
    <xf numFmtId="0" fontId="0" fillId="4" borderId="2" xfId="0" applyFill="1" applyBorder="1" applyAlignment="1">
      <alignment wrapText="1"/>
    </xf>
    <xf numFmtId="0" fontId="5" fillId="0" borderId="6" xfId="0" applyFont="1" applyFill="1" applyBorder="1" applyAlignment="1">
      <alignment horizontal="left" vertical="top" wrapText="1"/>
    </xf>
    <xf numFmtId="0" fontId="5" fillId="0" borderId="6" xfId="0" applyFont="1" applyFill="1" applyBorder="1" applyAlignment="1">
      <alignment horizontal="center" vertical="top"/>
    </xf>
    <xf numFmtId="0" fontId="5" fillId="0" borderId="6" xfId="0" applyFont="1" applyBorder="1" applyAlignment="1">
      <alignment horizontal="right" vertical="top"/>
    </xf>
    <xf numFmtId="5" fontId="5" fillId="0" borderId="6" xfId="0" applyNumberFormat="1" applyFont="1" applyFill="1" applyBorder="1" applyAlignment="1">
      <alignment horizontal="center" vertical="top" wrapText="1"/>
    </xf>
    <xf numFmtId="41" fontId="5" fillId="0" borderId="6" xfId="0" applyNumberFormat="1" applyFont="1" applyBorder="1" applyAlignment="1">
      <alignment horizontal="center" vertical="top"/>
    </xf>
    <xf numFmtId="41" fontId="5" fillId="0" borderId="6" xfId="0" applyNumberFormat="1" applyFont="1" applyFill="1" applyBorder="1" applyAlignment="1">
      <alignment horizontal="center" vertical="top"/>
    </xf>
    <xf numFmtId="41" fontId="5" fillId="3" borderId="6" xfId="0" applyNumberFormat="1" applyFont="1" applyFill="1" applyBorder="1" applyAlignment="1">
      <alignment horizontal="center" vertical="top"/>
    </xf>
    <xf numFmtId="41" fontId="5" fillId="7" borderId="6" xfId="0" applyNumberFormat="1" applyFont="1" applyFill="1" applyBorder="1" applyAlignment="1">
      <alignment horizontal="center" vertical="top"/>
    </xf>
    <xf numFmtId="0" fontId="5" fillId="0" borderId="6" xfId="0" applyFont="1" applyFill="1" applyBorder="1" applyAlignment="1">
      <alignment vertical="top" wrapText="1"/>
    </xf>
    <xf numFmtId="0" fontId="5" fillId="0" borderId="6" xfId="0" applyFont="1" applyBorder="1" applyAlignment="1">
      <alignment vertical="top"/>
    </xf>
    <xf numFmtId="0" fontId="5" fillId="0" borderId="6" xfId="0" applyFont="1" applyBorder="1" applyAlignment="1">
      <alignment horizontal="center" vertical="top" wrapText="1"/>
    </xf>
    <xf numFmtId="0" fontId="5" fillId="0" borderId="6" xfId="0" applyFont="1" applyBorder="1" applyAlignment="1">
      <alignment horizontal="center" vertical="top"/>
    </xf>
    <xf numFmtId="14" fontId="5" fillId="0" borderId="6" xfId="0" applyNumberFormat="1" applyFont="1" applyBorder="1" applyAlignment="1">
      <alignment horizontal="center" vertical="top"/>
    </xf>
    <xf numFmtId="41" fontId="4" fillId="6" borderId="6" xfId="0" applyNumberFormat="1" applyFont="1" applyFill="1" applyBorder="1" applyAlignment="1">
      <alignment horizontal="center" vertical="top"/>
    </xf>
    <xf numFmtId="14" fontId="10" fillId="0" borderId="6" xfId="2" applyNumberFormat="1" applyBorder="1" applyAlignment="1">
      <alignment horizontal="center" vertical="top"/>
    </xf>
    <xf numFmtId="41" fontId="5" fillId="9" borderId="6" xfId="0" quotePrefix="1" applyNumberFormat="1" applyFont="1" applyFill="1" applyBorder="1" applyAlignment="1">
      <alignment horizontal="center" vertical="top"/>
    </xf>
    <xf numFmtId="41" fontId="5" fillId="9" borderId="6" xfId="0" applyNumberFormat="1" applyFont="1" applyFill="1" applyBorder="1" applyAlignment="1">
      <alignment horizontal="center" vertical="top"/>
    </xf>
    <xf numFmtId="41" fontId="4" fillId="4" borderId="6" xfId="0" applyNumberFormat="1" applyFont="1" applyFill="1" applyBorder="1" applyAlignment="1">
      <alignment horizontal="center" vertical="top"/>
    </xf>
    <xf numFmtId="41" fontId="4" fillId="6" borderId="6" xfId="0" applyNumberFormat="1" applyFont="1" applyFill="1" applyBorder="1" applyAlignment="1">
      <alignment vertical="top"/>
    </xf>
    <xf numFmtId="167" fontId="5" fillId="7" borderId="6" xfId="0" applyNumberFormat="1" applyFont="1" applyFill="1" applyBorder="1" applyAlignment="1">
      <alignment horizontal="center" vertical="top"/>
    </xf>
    <xf numFmtId="41" fontId="5" fillId="7" borderId="6" xfId="0" applyNumberFormat="1" applyFont="1" applyFill="1" applyBorder="1" applyAlignment="1">
      <alignment vertical="top"/>
    </xf>
    <xf numFmtId="41" fontId="5" fillId="9" borderId="6" xfId="0" quotePrefix="1" applyNumberFormat="1" applyFont="1" applyFill="1" applyBorder="1" applyAlignment="1">
      <alignment vertical="top"/>
    </xf>
    <xf numFmtId="41" fontId="5" fillId="9" borderId="6" xfId="0" applyNumberFormat="1" applyFont="1" applyFill="1" applyBorder="1" applyAlignment="1">
      <alignment vertical="top"/>
    </xf>
    <xf numFmtId="14" fontId="12" fillId="0" borderId="6" xfId="4" applyNumberFormat="1" applyBorder="1" applyAlignment="1">
      <alignment horizontal="center" vertical="top"/>
    </xf>
  </cellXfs>
  <cellStyles count="9">
    <cellStyle name="Comma" xfId="5" builtinId="3"/>
    <cellStyle name="Currency" xfId="6" builtinId="4"/>
    <cellStyle name="Hyperlink" xfId="4" builtinId="8"/>
    <cellStyle name="Hyperlink 2" xfId="2"/>
    <cellStyle name="Hyperlink 3" xfId="1"/>
    <cellStyle name="Normal" xfId="0" builtinId="0"/>
    <cellStyle name="Normal 2" xfId="3"/>
    <cellStyle name="Normal 3" xfId="7"/>
    <cellStyle name="Normal 4" xfId="8"/>
  </cellStyles>
  <dxfs count="0"/>
  <tableStyles count="0" defaultTableStyle="TableStyleMedium9" defaultPivotStyle="PivotStyleMedium4"/>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hattanooga.gov/city-council-files/OrdinancesAndResolutions/Resolutions/Resolutions%202002/23253%20Downtown%20Housing%20Initiative%20.doc" TargetMode="External"/><Relationship Id="rId21" Type="http://schemas.openxmlformats.org/officeDocument/2006/relationships/hyperlink" Target="http://www.chattanooga.gov/city-council-files/OrdinancesAndResolutions/Resolutions/Resolutions%202006/24923%20Auth%20Wrigley%20PILOT%20Agmt%20-%20County%20IDB.DOC" TargetMode="External"/><Relationship Id="rId42" Type="http://schemas.openxmlformats.org/officeDocument/2006/relationships/hyperlink" Target="http://resolutions.hamiltontn.gov/resolutions/1997/697-19.pdf" TargetMode="External"/><Relationship Id="rId47" Type="http://schemas.openxmlformats.org/officeDocument/2006/relationships/hyperlink" Target="http://resolutions.hamiltontn.gov/resolutions/2009/309-37.pdf" TargetMode="External"/><Relationship Id="rId63" Type="http://schemas.openxmlformats.org/officeDocument/2006/relationships/hyperlink" Target="http://resolutions.hamiltontn.gov/resolutions/2012/1212-20.pdf" TargetMode="External"/><Relationship Id="rId68" Type="http://schemas.openxmlformats.org/officeDocument/2006/relationships/hyperlink" Target="http://www.chattanooga.gov/city-council-files/OrdinancesAndResolutions/Resolutions/Resolutions%202015/28301%20PILOT%20Expansion%20Gestamp.pdf" TargetMode="External"/><Relationship Id="rId84" Type="http://schemas.openxmlformats.org/officeDocument/2006/relationships/hyperlink" Target="http://www.chattanooga.gov/city-council-files/OrdinancesAndResolutions/Resolutions/Resolutions%202016/28815%20PILOT-ECG%20Chestnut%20LP.pdf" TargetMode="External"/><Relationship Id="rId89" Type="http://schemas.openxmlformats.org/officeDocument/2006/relationships/hyperlink" Target="http://resolutions.hamiltontn.gov/resolutions/2010/1210-12.pdf" TargetMode="External"/><Relationship Id="rId7" Type="http://schemas.openxmlformats.org/officeDocument/2006/relationships/hyperlink" Target="http://www.chattanooga.gov/city-council-files/OrdinancesAndResolutions/Resolutions/Resolutions%202009/26092%20Make%20certain%20findings%20relating%20to%20Columbus%20McKinnon%20Corp-Dixie%20Industries%20Project.pdf" TargetMode="External"/><Relationship Id="rId71" Type="http://schemas.openxmlformats.org/officeDocument/2006/relationships/hyperlink" Target="http://resolutions.hamiltontn.gov/resolutions/2015/715-16.pdf" TargetMode="External"/><Relationship Id="rId92" Type="http://schemas.openxmlformats.org/officeDocument/2006/relationships/hyperlink" Target="http://resolutions.hamiltontn.gov/resolutions/2016/1216-31.pdf" TargetMode="External"/><Relationship Id="rId2" Type="http://schemas.openxmlformats.org/officeDocument/2006/relationships/hyperlink" Target="http://www.chattanooga.gov/city-council-files/OrdinancesAndResolutions/Resolutions/Resolutions%202010/26518%20Make%20certain%20findings%20relating%20to%20Chattanooga%20Seating%20Systems.pdf" TargetMode="External"/><Relationship Id="rId16" Type="http://schemas.openxmlformats.org/officeDocument/2006/relationships/hyperlink" Target="http://www.chattanooga.gov/city-council-files/OrdinancesAndResolutions/Resolutions/Resolutions%202007/25297%20Auth%20PILOT%20Agmt%20-%20Southern%20Champion%20Tray.pdf" TargetMode="External"/><Relationship Id="rId29" Type="http://schemas.openxmlformats.org/officeDocument/2006/relationships/hyperlink" Target="http://www.chattanooga.gov/city-council-files/OrdinancesAndResolutions/Resolutions/Resolutions%202012/27337_PILOT_UTC_Three.pdf" TargetMode="External"/><Relationship Id="rId11" Type="http://schemas.openxmlformats.org/officeDocument/2006/relationships/hyperlink" Target="http://www.chattanooga.gov/city-council-files/OrdinancesAndResolutions/Resolutions/Resolutions%202010/26357%20Aut%20execution%20of%20a%20payment%20in%20lieu%20of%20tax%20agreement%20with%20LJT%20TN.pdf" TargetMode="External"/><Relationship Id="rId24" Type="http://schemas.openxmlformats.org/officeDocument/2006/relationships/hyperlink" Target="http://www.chattanooga.gov/city-council-files/OrdinancesAndResolutions/Resolutions/Resolutions%202013/27705%20PILOT%20Woodbridge.pdf" TargetMode="External"/><Relationship Id="rId32" Type="http://schemas.openxmlformats.org/officeDocument/2006/relationships/hyperlink" Target="http://www.hamiltontn.gov/pdf/PILOT/CollegedaleResolution293.pdf" TargetMode="External"/><Relationship Id="rId37" Type="http://schemas.openxmlformats.org/officeDocument/2006/relationships/hyperlink" Target="http://resolutions.hamiltontn.gov/resolutions/2009/609-11.pdf" TargetMode="External"/><Relationship Id="rId40" Type="http://schemas.openxmlformats.org/officeDocument/2006/relationships/hyperlink" Target="http://resolutions.hamiltontn.gov/resolutions/2010/1210-12.pdf" TargetMode="External"/><Relationship Id="rId45" Type="http://schemas.openxmlformats.org/officeDocument/2006/relationships/hyperlink" Target="http://resolutions.hamiltontn.gov/resolutions/2014/614-19.pdf" TargetMode="External"/><Relationship Id="rId53" Type="http://schemas.openxmlformats.org/officeDocument/2006/relationships/hyperlink" Target="http://resolutions.hamiltontn.gov/resolutions/2014/714-31.pdf" TargetMode="External"/><Relationship Id="rId58" Type="http://schemas.openxmlformats.org/officeDocument/2006/relationships/hyperlink" Target="http://resolutions.hamiltontn.gov/resolutions/2002/302-41A.pdf" TargetMode="External"/><Relationship Id="rId66" Type="http://schemas.openxmlformats.org/officeDocument/2006/relationships/hyperlink" Target="http://www.chattanooga.gov/city-council-files/OrdinancesAndResolutions/Resolutions/Resolutions%202015/28165%20PILOT%20Choo%20Choo.pdf" TargetMode="External"/><Relationship Id="rId74" Type="http://schemas.openxmlformats.org/officeDocument/2006/relationships/hyperlink" Target="http://www.chattanooga.gov/city-council-files/OrdinancesAndResolutions/Resolutions/Resolutions%202015/28256%20PILOT%20The%20KORE%20Company.pdf" TargetMode="External"/><Relationship Id="rId79" Type="http://schemas.openxmlformats.org/officeDocument/2006/relationships/hyperlink" Target="http://www.chattanooga.gov/city-council-files/OrdinancesAndResolutions/Resolutions/Resolutions%202015/28424%20PILOT%20Gestamp.pdf" TargetMode="External"/><Relationship Id="rId87" Type="http://schemas.openxmlformats.org/officeDocument/2006/relationships/hyperlink" Target="http://www.chattanooga.gov/city-council-files/OrdinancesAndResolutions/Resolutions/Resolutions%202008/25672%20Auth%20PILOT%20Agmt%20-%20%20Westinghouse%20Electric%20Sept%202008.pdf" TargetMode="External"/><Relationship Id="rId102" Type="http://schemas.openxmlformats.org/officeDocument/2006/relationships/hyperlink" Target="http://resolutions.hamiltontn.gov/resolutions/2015/215-37.pdf" TargetMode="External"/><Relationship Id="rId5" Type="http://schemas.openxmlformats.org/officeDocument/2006/relationships/hyperlink" Target="http://www.chattanooga.gov/city-council-files/OrdinancesAndResolutions/Resolutions/Resolutions%202014/27804%20Coca-Cola%20PILOT.pdf" TargetMode="External"/><Relationship Id="rId61" Type="http://schemas.openxmlformats.org/officeDocument/2006/relationships/hyperlink" Target="http://resolutions.hamiltontn.gov/resolutions/2002/302-41A.pdf" TargetMode="External"/><Relationship Id="rId82" Type="http://schemas.openxmlformats.org/officeDocument/2006/relationships/hyperlink" Target="http://www.chattanooga.gov/city-council-files/OrdinancesAndResolutions/Resolutions/Resolutions%202016/28501%20PILOT%20Yanfeng.pdf" TargetMode="External"/><Relationship Id="rId90" Type="http://schemas.openxmlformats.org/officeDocument/2006/relationships/hyperlink" Target="http://www.chattanooga.gov/city-council-files/OrdinancesAndResolutions/Resolutions/Resolutions%202006/24775%20Auth%20Astec%20Industries%20PILOT%20Agmt.DOC" TargetMode="External"/><Relationship Id="rId95" Type="http://schemas.openxmlformats.org/officeDocument/2006/relationships/hyperlink" Target="http://www.chattanooga.gov/city-council-files/OrdinancesAndResolutions/Resolutions/Resolutions%202016/28852%20PILOT%20Resolution%20Standard%20Coosa%20Lofts.pdf" TargetMode="External"/><Relationship Id="rId19" Type="http://schemas.openxmlformats.org/officeDocument/2006/relationships/hyperlink" Target="http://www.chattanooga.gov/city-council-files/OrdinancesAndResolutions/Resolutions/Resolutions%202008/25738%20Auth%20PILOT%20Agmt%20-%20Volkswagen.pdf" TargetMode="External"/><Relationship Id="rId14" Type="http://schemas.openxmlformats.org/officeDocument/2006/relationships/hyperlink" Target="http://www.chattanooga.gov/city-council-files/OrdinancesAndResolutions/Resolutions/Resolutions%202009/25843%20Auth%20PILOT%20Agmt%20-%20Provident.pdf" TargetMode="External"/><Relationship Id="rId22" Type="http://schemas.openxmlformats.org/officeDocument/2006/relationships/hyperlink" Target="http://www.chattanooga.gov/city-council-files/OrdinancesAndResolutions/Resolutions/Resolutions%202010/26441%20Make%20certain%20findings%20relating%20to%20Wm%20Wrigley%20Jr.%20Co.%20Project.pdf" TargetMode="External"/><Relationship Id="rId27" Type="http://schemas.openxmlformats.org/officeDocument/2006/relationships/hyperlink" Target="http://www.chattanooga.gov/city-council-files/OrdinancesAndResolutions/Resolutions/Resolutions%202002/23253%20Downtown%20Housing%20Initiative%20.doc" TargetMode="External"/><Relationship Id="rId30" Type="http://schemas.openxmlformats.org/officeDocument/2006/relationships/hyperlink" Target="http://www.chattanooga.gov/city-council-files/OrdinancesAndResolutions/Resolutions/Resolutions%202012/27336_PILOT_UTC_Two.pdf" TargetMode="External"/><Relationship Id="rId35" Type="http://schemas.openxmlformats.org/officeDocument/2006/relationships/hyperlink" Target="http://resolutions.hamiltontn.gov/resolutions/2009/909-40.pdf" TargetMode="External"/><Relationship Id="rId43" Type="http://schemas.openxmlformats.org/officeDocument/2006/relationships/hyperlink" Target="http://resolutions.hamiltontn.gov/resolutions/2007/207-26.pdf" TargetMode="External"/><Relationship Id="rId48" Type="http://schemas.openxmlformats.org/officeDocument/2006/relationships/hyperlink" Target="http://resolutions.hamiltontn.gov/resolutions/2008/1008-27.pdf" TargetMode="External"/><Relationship Id="rId56" Type="http://schemas.openxmlformats.org/officeDocument/2006/relationships/hyperlink" Target="http://resolutions.hamiltontn.gov/resolutions/2013/813-44.pdf" TargetMode="External"/><Relationship Id="rId64" Type="http://schemas.openxmlformats.org/officeDocument/2006/relationships/hyperlink" Target="http://resolutions.hamiltontn.gov/resolutions/2015/315-43.pdf" TargetMode="External"/><Relationship Id="rId69" Type="http://schemas.openxmlformats.org/officeDocument/2006/relationships/hyperlink" Target="http://www.chattanooga.gov/city-council-files/OrdinancesAndResolutions/Resolutions/Resolutions%202015/28302%20PILOT%20NEW%20Gestamp%20North%20America.pdf" TargetMode="External"/><Relationship Id="rId77" Type="http://schemas.openxmlformats.org/officeDocument/2006/relationships/hyperlink" Target="http://resolutions.hamiltontn.gov/resolutions/2010/710-4.pdf" TargetMode="External"/><Relationship Id="rId100" Type="http://schemas.openxmlformats.org/officeDocument/2006/relationships/hyperlink" Target="http://www.chattanooga.gov/city-council-files/OrdinancesAndResolutions/Resolutions/Resolutions%202017/29035%20PILOT%20HomeServ.pdf" TargetMode="External"/><Relationship Id="rId105" Type="http://schemas.openxmlformats.org/officeDocument/2006/relationships/hyperlink" Target="http://resolutions.hamiltontn.gov/resolutions/2015/815-19.pdf" TargetMode="External"/><Relationship Id="rId8" Type="http://schemas.openxmlformats.org/officeDocument/2006/relationships/hyperlink" Target="http://www.chattanooga.gov/city-council-files/OrdinancesAndResolutions/Resolutions/Resolutions%202010/26356%20Aut%20amendment%20to%20payment%20in%20lieu%20of%20tax%20agreement%20with%20Gestamp.pdf" TargetMode="External"/><Relationship Id="rId51" Type="http://schemas.openxmlformats.org/officeDocument/2006/relationships/hyperlink" Target="http://resolutions.hamiltontn.gov/resolutions/2010/710-5.pdf" TargetMode="External"/><Relationship Id="rId72" Type="http://schemas.openxmlformats.org/officeDocument/2006/relationships/hyperlink" Target="http://resolutions.hamiltontn.gov/resolutions/2015/715-17.pdf" TargetMode="External"/><Relationship Id="rId80" Type="http://schemas.openxmlformats.org/officeDocument/2006/relationships/hyperlink" Target="http://resolutions.hamiltontn.gov/resolutions/2015/1015-20.pdf" TargetMode="External"/><Relationship Id="rId85" Type="http://schemas.openxmlformats.org/officeDocument/2006/relationships/hyperlink" Target="http://resolutions.hamiltontn.gov/resolutions/2016/1116-3.pdf" TargetMode="External"/><Relationship Id="rId93" Type="http://schemas.openxmlformats.org/officeDocument/2006/relationships/hyperlink" Target="http://resolutions.hamiltontn.gov/resolutions/2016/1216-8.pdf" TargetMode="External"/><Relationship Id="rId98" Type="http://schemas.openxmlformats.org/officeDocument/2006/relationships/hyperlink" Target="http://www.chattanooga.gov/city-council-files/OrdinancesAndResolutions/Resolutions/Resolutions%202005/24361%20Authorize%20BlueCross%20BlueShield%20PILOT%20Agreement.pdf" TargetMode="External"/><Relationship Id="rId3" Type="http://schemas.openxmlformats.org/officeDocument/2006/relationships/hyperlink" Target="http://www.chattanooga.gov/city-council-files/OrdinancesAndResolutions/Resolutions/Resolutions%202009/25968%20Make%20certain%20findings%20relating%20to%20Chattem,%20Inc.%20Project.pdf" TargetMode="External"/><Relationship Id="rId12" Type="http://schemas.openxmlformats.org/officeDocument/2006/relationships/hyperlink" Target="http://www.chattanooga.gov/city-council-files/OrdinancesAndResolutions/Resolutions/Resolutions%202014/27892%20PILOT%20Plastic%20Omnium.pdf" TargetMode="External"/><Relationship Id="rId17" Type="http://schemas.openxmlformats.org/officeDocument/2006/relationships/hyperlink" Target="http://www.chattanooga.gov/city-council-files/OrdinancesAndResolutions/Resolutions/Resolutions%202014/28072%20PILOT%20Southern%20Champion.pdf" TargetMode="External"/><Relationship Id="rId25" Type="http://schemas.openxmlformats.org/officeDocument/2006/relationships/hyperlink" Target="http://www.chattanooga.gov/city-council-files/OrdinancesAndResolutions/Resolutions/Resolutions%202002/23253%20Downtown%20Housing%20Initiative%20.doc" TargetMode="External"/><Relationship Id="rId33" Type="http://schemas.openxmlformats.org/officeDocument/2006/relationships/hyperlink" Target="http://resolutions.hamiltontn.gov/resolutions/2006/706-17.pdf" TargetMode="External"/><Relationship Id="rId38" Type="http://schemas.openxmlformats.org/officeDocument/2006/relationships/hyperlink" Target="http://resolutions.hamiltontn.gov/resolutions/2014/714-18.pdf" TargetMode="External"/><Relationship Id="rId46" Type="http://schemas.openxmlformats.org/officeDocument/2006/relationships/hyperlink" Target="http://resolutions.hamiltontn.gov/resolutions/2001/1101-26.pdf" TargetMode="External"/><Relationship Id="rId59" Type="http://schemas.openxmlformats.org/officeDocument/2006/relationships/hyperlink" Target="http://resolutions.hamiltontn.gov/resolutions/2002/302-41A.pdf" TargetMode="External"/><Relationship Id="rId67" Type="http://schemas.openxmlformats.org/officeDocument/2006/relationships/hyperlink" Target="http://resolutions.hamiltontn.gov/resolutions/2015/515-28.pdf" TargetMode="External"/><Relationship Id="rId103" Type="http://schemas.openxmlformats.org/officeDocument/2006/relationships/hyperlink" Target="http://www.chattanooga.gov/city-council-files/OrdinancesAndResolutions/Resolutions/Resolutions%202015/28139%20PILOT%20UTC%20Five.pdf" TargetMode="External"/><Relationship Id="rId20" Type="http://schemas.openxmlformats.org/officeDocument/2006/relationships/hyperlink" Target="http://www.chattanooga.gov/city-council-files/OrdinancesAndResolutions/Resolutions/Resolutions%202014/27960%20Aut%20MOU%20for%20VW%20CrossBlue%20Project.pdf" TargetMode="External"/><Relationship Id="rId41" Type="http://schemas.openxmlformats.org/officeDocument/2006/relationships/hyperlink" Target="http://resolutions.hamiltontn.gov/resolutions/2009/1009-15.pdf" TargetMode="External"/><Relationship Id="rId54" Type="http://schemas.openxmlformats.org/officeDocument/2006/relationships/hyperlink" Target="http://resolutions.hamiltontn.gov/resolutions/2006/1006-36.pdf" TargetMode="External"/><Relationship Id="rId62" Type="http://schemas.openxmlformats.org/officeDocument/2006/relationships/hyperlink" Target="http://resolutions.hamiltontn.gov/resolutions/2012/1212-21.pdf" TargetMode="External"/><Relationship Id="rId70" Type="http://schemas.openxmlformats.org/officeDocument/2006/relationships/hyperlink" Target="http://resolutions.hamiltontn.gov/resolutions/2015/715-15.pdf" TargetMode="External"/><Relationship Id="rId75" Type="http://schemas.openxmlformats.org/officeDocument/2006/relationships/hyperlink" Target="http://www.chattanooga.gov/city-council-files/OrdinancesAndResolutions/Resolutions/Resolutions%202014/28002%20Van%20De%20Wiele%20project%20payment%20in%20lieu%20of%20taxes.pdf" TargetMode="External"/><Relationship Id="rId83" Type="http://schemas.openxmlformats.org/officeDocument/2006/relationships/hyperlink" Target="http://resolutions.hamiltontn.gov/resolutions/2016/116-27.pdf" TargetMode="External"/><Relationship Id="rId88" Type="http://schemas.openxmlformats.org/officeDocument/2006/relationships/hyperlink" Target="http://resolutions.hamiltontn.gov/resolutions/2006/606-26.pdf" TargetMode="External"/><Relationship Id="rId91"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96" Type="http://schemas.openxmlformats.org/officeDocument/2006/relationships/hyperlink" Target="http://www.chattanooga.gov/city-council-files/OrdinancesAndResolutions/Resolutions/Resolutions%202006/24775%20Auth%20Astec%20Industries%20PILOT%20Agmt.DOC" TargetMode="External"/><Relationship Id="rId1" Type="http://schemas.openxmlformats.org/officeDocument/2006/relationships/hyperlink" Target="http://www.chattanooga.gov/city-council-files/OrdinancesAndResolutions/Resolutions/Resolutions%202009/26093%20Make%20certain%20findings%20relating%20to%20AKI%20project.pdf" TargetMode="External"/><Relationship Id="rId6" Type="http://schemas.openxmlformats.org/officeDocument/2006/relationships/hyperlink" Target="http://www.chattanooga.gov/city-council-files/OrdinancesAndResolutions/Resolutions/Resolutions%202010/26502%20Aut%20Mayor%20to%20enter%20into%20agreements%20with%20Amazon.com%20project.pdf" TargetMode="External"/><Relationship Id="rId15" Type="http://schemas.openxmlformats.org/officeDocument/2006/relationships/hyperlink" Target="http://www.chattanooga.gov/city-council-files/OrdinancesAndResolutions/Resolutions/Resolutions%202008/25682%20Auth%20PILOT%20Agmt%20-%20RiverCity%20Company%20-%20Movie%20Theater.pdf" TargetMode="External"/><Relationship Id="rId23" Type="http://schemas.openxmlformats.org/officeDocument/2006/relationships/hyperlink" Target="http://www.chattanooga.gov/city-council-files/OrdinancesAndResolutions/Resolutions/Resolutions%202013/27639%20WNA%20Pilot.pdf" TargetMode="External"/><Relationship Id="rId28" Type="http://schemas.openxmlformats.org/officeDocument/2006/relationships/hyperlink" Target="http://www.chattanooga.gov/city-council-files/OrdinancesAndResolutions/Resolutions/Resolutions%202002/23253%20Downtown%20Housing%20Initiative%20.doc" TargetMode="External"/><Relationship Id="rId36" Type="http://schemas.openxmlformats.org/officeDocument/2006/relationships/hyperlink" Target="http://resolutions.hamiltontn.gov/resolutions/2008/1208-36.pdf" TargetMode="External"/><Relationship Id="rId49" Type="http://schemas.openxmlformats.org/officeDocument/2006/relationships/hyperlink" Target="http://resolutions.hamiltontn.gov/resolutions/2006/606-26.pdf" TargetMode="External"/><Relationship Id="rId57" Type="http://schemas.openxmlformats.org/officeDocument/2006/relationships/hyperlink" Target="http://resolutions.hamiltontn.gov/resolutions/2013/1113-26.pdf" TargetMode="External"/><Relationship Id="rId106" Type="http://schemas.openxmlformats.org/officeDocument/2006/relationships/printerSettings" Target="../printerSettings/printerSettings1.bin"/><Relationship Id="rId10" Type="http://schemas.openxmlformats.org/officeDocument/2006/relationships/hyperlink" Target="http://www.chattanooga.gov/city-council-files/OrdinancesAndResolutions/Resolutions/Resolutions%202007/25042%20Auth%20Jarnigan%20Road%20III,%20LLC-EMJ%20Corp-CBL%20Assocs%20Mgmt,%20Inc-PILOT.DOC" TargetMode="External"/><Relationship Id="rId31" Type="http://schemas.openxmlformats.org/officeDocument/2006/relationships/hyperlink" Target="http://www.chattanooga.gov/city-council-files/OrdinancesAndResolutions/Resolutions/Resolutions%202002/23253%20Downtown%20Housing%20Initiative%20.doc" TargetMode="External"/><Relationship Id="rId44" Type="http://schemas.openxmlformats.org/officeDocument/2006/relationships/hyperlink" Target="http://resolutions.hamiltontn.gov/resolutions/2010/710-5.pdf" TargetMode="External"/><Relationship Id="rId52" Type="http://schemas.openxmlformats.org/officeDocument/2006/relationships/hyperlink" Target="http://resolutions.hamiltontn.gov/resolutions/2008/1108-43.pdf" TargetMode="External"/><Relationship Id="rId60" Type="http://schemas.openxmlformats.org/officeDocument/2006/relationships/hyperlink" Target="http://resolutions.hamiltontn.gov/resolutions/2002/302-41A.pdf" TargetMode="External"/><Relationship Id="rId65" Type="http://schemas.openxmlformats.org/officeDocument/2006/relationships/hyperlink" Target="http://www.chattanooga.gov/city-council-files/OrdinancesAndResolutions/Resolutions/Resolutions%202015/28233%20PILOT%20Heritage-Maclellan.pdf" TargetMode="External"/><Relationship Id="rId73" Type="http://schemas.openxmlformats.org/officeDocument/2006/relationships/hyperlink" Target="http://resolutions.hamiltontn.gov/resolutions/2014/914-31.pdf" TargetMode="External"/><Relationship Id="rId78" Type="http://schemas.openxmlformats.org/officeDocument/2006/relationships/hyperlink" Target="http://resolutions.hamiltontn.gov/resolutions/2008/908-48.pdf" TargetMode="External"/><Relationship Id="rId81" Type="http://schemas.openxmlformats.org/officeDocument/2006/relationships/hyperlink" Target="http://resolutions.hamiltontn.gov/resolutions/2015/1015-54.pdf" TargetMode="External"/><Relationship Id="rId86" Type="http://schemas.openxmlformats.org/officeDocument/2006/relationships/hyperlink" Target="http://resolutions.hamiltontn.gov/resolutions/2008/308-51.pdf" TargetMode="External"/><Relationship Id="rId94" Type="http://schemas.openxmlformats.org/officeDocument/2006/relationships/hyperlink" Target="http://www.chattanooga.gov/city-council-files/OrdinancesAndResolutions/Resolutions/Resolutions%202016/28835%20PILOT%20Resolution%20Jaycee%20Tower%20City.pdf" TargetMode="External"/><Relationship Id="rId99" Type="http://schemas.openxmlformats.org/officeDocument/2006/relationships/hyperlink" Target="http://resolutions.hamiltontn.gov/resolutions/2005/305-34.pdf" TargetMode="External"/><Relationship Id="rId101" Type="http://schemas.openxmlformats.org/officeDocument/2006/relationships/hyperlink" Target="http://resolutions.hamiltontn.gov/resolutions/2017/517-30.pdf" TargetMode="External"/><Relationship Id="rId4" Type="http://schemas.openxmlformats.org/officeDocument/2006/relationships/hyperlink" Target="http://www.chattanooga.gov/city-council-files/OrdinancesAndResolutions/Resolutions/Resolutions%202014/27931%20PILOT%20Chattem%20Chemicals.pdf" TargetMode="External"/><Relationship Id="rId9" Type="http://schemas.openxmlformats.org/officeDocument/2006/relationships/hyperlink" Target="http://www.chattanooga.gov/city-council-files/OrdinancesAndResolutions/Resolutions/Resolutions%201997/21398DupontIDBAgmt-Taxes.txt" TargetMode="External"/><Relationship Id="rId13" Type="http://schemas.openxmlformats.org/officeDocument/2006/relationships/hyperlink" Target="http://www.chattanooga.gov/city-council-files/OrdinancesAndResolutions/Resolutions/Resolutions%202001/23190%20Agmt-Unumprovident-IDB-payments%20lieu%20of%20ad%20valorem%20taxes.doc" TargetMode="External"/><Relationship Id="rId18" Type="http://schemas.openxmlformats.org/officeDocument/2006/relationships/hyperlink" Target="http://www.chattanooga.gov/city-council-files/OrdinancesAndResolutions/Resolutions/Resolutions%202010/26357%20Aut%20execution%20of%20a%20payment%20in%20lieu%20of%20tax%20agreement%20with%20LJT%20TN.pdf" TargetMode="External"/><Relationship Id="rId39" Type="http://schemas.openxmlformats.org/officeDocument/2006/relationships/hyperlink" Target="http://resolutions.hamiltontn.gov/resolutions/2014/314-25.pdf" TargetMode="External"/><Relationship Id="rId34" Type="http://schemas.openxmlformats.org/officeDocument/2006/relationships/hyperlink" Target="http://resolutions.hamiltontn.gov/resolutions/2002/302-41A.pdf" TargetMode="External"/><Relationship Id="rId50" Type="http://schemas.openxmlformats.org/officeDocument/2006/relationships/hyperlink" Target="http://resolutions.hamiltontn.gov/resolutions/2014/1214-8.pdf" TargetMode="External"/><Relationship Id="rId55" Type="http://schemas.openxmlformats.org/officeDocument/2006/relationships/hyperlink" Target="http://resolutions.hamiltontn.gov/resolutions/2010/1010-8.pdf" TargetMode="External"/><Relationship Id="rId76" Type="http://schemas.openxmlformats.org/officeDocument/2006/relationships/hyperlink" Target="http://resolutions.hamiltontn.gov/resolutions/2009/1109-52.pdf" TargetMode="External"/><Relationship Id="rId97" Type="http://schemas.openxmlformats.org/officeDocument/2006/relationships/hyperlink" Target="http://resolutions.hamiltontn.gov/resolutions/2006/606-26.pdf" TargetMode="External"/><Relationship Id="rId104" Type="http://schemas.openxmlformats.org/officeDocument/2006/relationships/hyperlink" Target="http://www.chattanooga.gov/city-council-files/OrdinancesAndResolutions/Resolutions/Resolutions%202015/28336%20PILOT%20Simpson%20Organiza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S123"/>
  <sheetViews>
    <sheetView tabSelected="1" zoomScaleNormal="100" workbookViewId="0">
      <pane xSplit="5" ySplit="3" topLeftCell="V4" activePane="bottomRight" state="frozen"/>
      <selection activeCell="A2" sqref="A2"/>
      <selection pane="topRight" activeCell="F2" sqref="F2"/>
      <selection pane="bottomLeft" activeCell="A4" sqref="A4"/>
      <selection pane="bottomRight" activeCell="Y16" sqref="Y16"/>
    </sheetView>
  </sheetViews>
  <sheetFormatPr defaultColWidth="17.28515625" defaultRowHeight="15" customHeight="1" x14ac:dyDescent="0.2"/>
  <cols>
    <col min="1" max="1" width="37.140625" style="25" customWidth="1"/>
    <col min="2" max="2" width="40.140625" style="25" bestFit="1" customWidth="1"/>
    <col min="3" max="3" width="25" style="25" hidden="1" customWidth="1"/>
    <col min="4" max="4" width="13.28515625" style="25" hidden="1" customWidth="1"/>
    <col min="5" max="5" width="26.7109375" style="19" customWidth="1"/>
    <col min="6" max="6" width="10.7109375" style="25" customWidth="1"/>
    <col min="7" max="7" width="11.140625" style="25" customWidth="1"/>
    <col min="8" max="8" width="10.42578125" style="25" customWidth="1"/>
    <col min="9" max="9" width="2.140625" style="6" customWidth="1"/>
    <col min="10" max="10" width="11.140625" style="25" customWidth="1"/>
    <col min="11" max="11" width="11" style="25" customWidth="1"/>
    <col min="12" max="12" width="10.85546875" style="25" customWidth="1"/>
    <col min="13" max="13" width="1.7109375" style="6" customWidth="1"/>
    <col min="14" max="14" width="10.7109375" style="25" customWidth="1"/>
    <col min="15" max="15" width="8.42578125" style="25" customWidth="1"/>
    <col min="16" max="16" width="13.28515625" style="25" customWidth="1"/>
    <col min="17" max="17" width="12.5703125" style="36" customWidth="1"/>
    <col min="18" max="18" width="27" style="32" customWidth="1"/>
    <col min="19" max="19" width="14.5703125" style="3" customWidth="1"/>
    <col min="20" max="20" width="21" style="3" hidden="1" customWidth="1"/>
    <col min="21" max="21" width="17.42578125" style="38" customWidth="1"/>
    <col min="22" max="22" width="1.7109375" style="6" customWidth="1"/>
    <col min="23" max="23" width="13" style="3" customWidth="1"/>
    <col min="24" max="24" width="15" style="3" customWidth="1"/>
    <col min="25" max="25" width="14.85546875" style="3" customWidth="1"/>
    <col min="26" max="26" width="14.28515625" style="3" customWidth="1"/>
    <col min="27" max="27" width="3.7109375" style="6" customWidth="1"/>
    <col min="28" max="28" width="12" style="3" customWidth="1"/>
    <col min="29" max="29" width="14.7109375" style="3" customWidth="1"/>
    <col min="30" max="30" width="14.5703125" style="3" customWidth="1"/>
    <col min="31" max="31" width="13.85546875" style="3" customWidth="1"/>
    <col min="32" max="32" width="15" style="3" customWidth="1"/>
    <col min="33" max="33" width="3.7109375" style="6" customWidth="1"/>
    <col min="34" max="34" width="11.5703125" style="3" customWidth="1"/>
    <col min="35" max="35" width="11.7109375" style="3" customWidth="1"/>
    <col min="36" max="36" width="13.7109375" style="3" customWidth="1"/>
    <col min="37" max="37" width="14" style="3" customWidth="1"/>
    <col min="38" max="38" width="13" style="3" customWidth="1"/>
    <col min="39" max="39" width="17.28515625" style="25"/>
    <col min="40" max="40" width="0" style="25" hidden="1" customWidth="1"/>
    <col min="41" max="16384" width="17.28515625" style="25"/>
  </cols>
  <sheetData>
    <row r="1" spans="1:39" customFormat="1" ht="12.75" x14ac:dyDescent="0.2">
      <c r="A1" s="25"/>
      <c r="E1" s="15"/>
      <c r="I1" s="4"/>
      <c r="M1" s="4"/>
      <c r="N1" s="25"/>
      <c r="O1" s="25"/>
      <c r="Q1" s="35"/>
      <c r="R1" s="30"/>
      <c r="S1" s="1"/>
      <c r="T1" s="1"/>
      <c r="U1" s="38"/>
      <c r="V1" s="4"/>
      <c r="W1" s="2">
        <v>2.2770000000000001</v>
      </c>
      <c r="X1" s="2">
        <f>1.505+0.0099</f>
        <v>1.5148999999999999</v>
      </c>
      <c r="Y1" s="2">
        <v>1.2503</v>
      </c>
      <c r="Z1" s="2"/>
      <c r="AA1" s="4"/>
      <c r="AB1" s="3"/>
      <c r="AC1" s="3"/>
      <c r="AD1" s="3"/>
      <c r="AE1" s="3"/>
      <c r="AF1" s="3"/>
      <c r="AG1" s="4"/>
      <c r="AH1" s="1"/>
      <c r="AI1" s="1"/>
      <c r="AJ1" s="1"/>
      <c r="AK1" s="1"/>
      <c r="AL1" s="1"/>
    </row>
    <row r="2" spans="1:39" customFormat="1" ht="15" customHeight="1" thickBot="1" x14ac:dyDescent="0.25">
      <c r="A2" s="25"/>
      <c r="E2" s="15"/>
      <c r="F2" s="223" t="s">
        <v>75</v>
      </c>
      <c r="G2" s="223"/>
      <c r="H2" s="223"/>
      <c r="I2" s="40"/>
      <c r="J2" s="223" t="s">
        <v>76</v>
      </c>
      <c r="K2" s="223"/>
      <c r="L2" s="223"/>
      <c r="M2" s="40"/>
      <c r="N2" s="25"/>
      <c r="O2" s="25"/>
      <c r="Q2" s="35"/>
      <c r="R2" s="30"/>
      <c r="S2" s="1"/>
      <c r="T2" s="1"/>
      <c r="U2" s="38"/>
      <c r="V2" s="5"/>
      <c r="W2" s="7" t="s">
        <v>64</v>
      </c>
      <c r="X2" s="7"/>
      <c r="Y2" s="7"/>
      <c r="Z2" s="7"/>
      <c r="AA2" s="5"/>
      <c r="AB2" s="224" t="s">
        <v>137</v>
      </c>
      <c r="AC2" s="225"/>
      <c r="AD2" s="225"/>
      <c r="AE2" s="225"/>
      <c r="AF2" s="226"/>
      <c r="AG2" s="5"/>
      <c r="AH2" s="227" t="s">
        <v>70</v>
      </c>
      <c r="AI2" s="228"/>
      <c r="AJ2" s="228"/>
      <c r="AK2" s="228"/>
      <c r="AL2" s="229"/>
    </row>
    <row r="3" spans="1:39" s="15" customFormat="1" ht="24" customHeight="1" x14ac:dyDescent="0.2">
      <c r="A3" s="16" t="s">
        <v>0</v>
      </c>
      <c r="B3" s="8" t="s">
        <v>3</v>
      </c>
      <c r="C3" s="27" t="s">
        <v>8</v>
      </c>
      <c r="D3" s="27" t="s">
        <v>9</v>
      </c>
      <c r="E3" s="8" t="s">
        <v>111</v>
      </c>
      <c r="F3" s="8" t="s">
        <v>99</v>
      </c>
      <c r="G3" s="14" t="s">
        <v>5</v>
      </c>
      <c r="H3" s="14" t="s">
        <v>143</v>
      </c>
      <c r="I3" s="12"/>
      <c r="J3" s="8" t="s">
        <v>99</v>
      </c>
      <c r="K3" s="14" t="s">
        <v>5</v>
      </c>
      <c r="L3" s="14" t="s">
        <v>143</v>
      </c>
      <c r="M3" s="12"/>
      <c r="N3" s="16" t="s">
        <v>6</v>
      </c>
      <c r="O3" s="16" t="s">
        <v>7</v>
      </c>
      <c r="P3" s="16" t="s">
        <v>1</v>
      </c>
      <c r="Q3" s="33" t="s">
        <v>2</v>
      </c>
      <c r="R3" s="16" t="s">
        <v>160</v>
      </c>
      <c r="S3" s="12" t="s">
        <v>204</v>
      </c>
      <c r="T3" s="9" t="s">
        <v>4</v>
      </c>
      <c r="U3" s="12" t="s">
        <v>63</v>
      </c>
      <c r="V3" s="12"/>
      <c r="W3" s="11" t="s">
        <v>65</v>
      </c>
      <c r="X3" s="11" t="s">
        <v>66</v>
      </c>
      <c r="Y3" s="11" t="s">
        <v>67</v>
      </c>
      <c r="Z3" s="10" t="s">
        <v>69</v>
      </c>
      <c r="AA3" s="12"/>
      <c r="AB3" s="21" t="s">
        <v>231</v>
      </c>
      <c r="AC3" s="21" t="s">
        <v>232</v>
      </c>
      <c r="AD3" s="21" t="s">
        <v>233</v>
      </c>
      <c r="AE3" s="21" t="s">
        <v>142</v>
      </c>
      <c r="AF3" s="21" t="s">
        <v>138</v>
      </c>
      <c r="AG3" s="12"/>
      <c r="AH3" s="13" t="s">
        <v>71</v>
      </c>
      <c r="AI3" s="13" t="s">
        <v>72</v>
      </c>
      <c r="AJ3" s="13" t="s">
        <v>73</v>
      </c>
      <c r="AK3" s="13" t="s">
        <v>142</v>
      </c>
      <c r="AL3" s="13" t="s">
        <v>74</v>
      </c>
    </row>
    <row r="4" spans="1:39" s="19" customFormat="1" ht="24" customHeight="1" x14ac:dyDescent="0.25">
      <c r="A4" s="20" t="s">
        <v>77</v>
      </c>
      <c r="B4" s="16"/>
      <c r="C4" s="16"/>
      <c r="D4" s="16"/>
      <c r="E4" s="16"/>
      <c r="F4" s="16"/>
      <c r="G4" s="17"/>
      <c r="H4" s="17"/>
      <c r="I4" s="12"/>
      <c r="J4" s="16"/>
      <c r="K4" s="17"/>
      <c r="L4" s="17"/>
      <c r="M4" s="12"/>
      <c r="N4" s="16"/>
      <c r="O4" s="16"/>
      <c r="P4" s="16"/>
      <c r="Q4" s="33"/>
      <c r="R4" s="31"/>
      <c r="S4" s="12"/>
      <c r="T4" s="12"/>
      <c r="U4" s="37"/>
      <c r="V4" s="12"/>
      <c r="W4" s="18"/>
      <c r="X4" s="18"/>
      <c r="Y4" s="18"/>
      <c r="Z4" s="12"/>
      <c r="AA4" s="12"/>
      <c r="AB4" s="22"/>
      <c r="AC4" s="22"/>
      <c r="AD4" s="22"/>
      <c r="AE4" s="23"/>
      <c r="AF4" s="24"/>
      <c r="AG4" s="12"/>
      <c r="AH4" s="39"/>
      <c r="AI4" s="12"/>
      <c r="AJ4" s="12"/>
      <c r="AK4" s="12"/>
      <c r="AL4" s="12"/>
    </row>
    <row r="5" spans="1:39" s="62" customFormat="1" ht="25.5" customHeight="1" x14ac:dyDescent="0.2">
      <c r="A5" s="44" t="s">
        <v>38</v>
      </c>
      <c r="B5" s="45" t="s">
        <v>39</v>
      </c>
      <c r="C5" s="46">
        <v>35.068630239999997</v>
      </c>
      <c r="D5" s="46">
        <v>-85.142667220000007</v>
      </c>
      <c r="E5" s="47" t="s">
        <v>112</v>
      </c>
      <c r="F5" s="46">
        <v>26502</v>
      </c>
      <c r="G5" s="48">
        <v>40512</v>
      </c>
      <c r="H5" s="49" t="s">
        <v>144</v>
      </c>
      <c r="I5" s="50"/>
      <c r="J5" s="46" t="s">
        <v>81</v>
      </c>
      <c r="K5" s="48">
        <v>40513</v>
      </c>
      <c r="L5" s="49" t="s">
        <v>144</v>
      </c>
      <c r="M5" s="50"/>
      <c r="N5" s="51">
        <v>2012</v>
      </c>
      <c r="O5" s="51">
        <v>2022</v>
      </c>
      <c r="P5" s="52">
        <v>1249</v>
      </c>
      <c r="Q5" s="53">
        <v>30500</v>
      </c>
      <c r="R5" s="54" t="s">
        <v>223</v>
      </c>
      <c r="S5" s="55">
        <v>91000000</v>
      </c>
      <c r="T5" s="55"/>
      <c r="U5" s="50">
        <v>7141830</v>
      </c>
      <c r="V5" s="50"/>
      <c r="W5" s="56">
        <f t="shared" ref="W5:Y15" si="0">+$U5*W$1/100</f>
        <v>162619.46909999999</v>
      </c>
      <c r="X5" s="56">
        <f t="shared" si="0"/>
        <v>108191.58266999999</v>
      </c>
      <c r="Y5" s="56">
        <f>ROUND(+$U5*Y$1/100,2)</f>
        <v>89294.3</v>
      </c>
      <c r="Z5" s="56">
        <f t="shared" ref="Z5:Z28" si="1">+W5+X5+Y5</f>
        <v>360105.35176999995</v>
      </c>
      <c r="AA5" s="50"/>
      <c r="AB5" s="57">
        <v>0</v>
      </c>
      <c r="AC5" s="58">
        <v>0</v>
      </c>
      <c r="AD5" s="58">
        <v>89294.3</v>
      </c>
      <c r="AE5" s="58"/>
      <c r="AF5" s="58">
        <f t="shared" ref="AF5:AF28" si="2">+AB5+AC5+AD5+AE5</f>
        <v>89294.3</v>
      </c>
      <c r="AG5" s="50"/>
      <c r="AH5" s="59">
        <f t="shared" ref="AH5:AJ28" si="3">+W5-AB5</f>
        <v>162619.46909999999</v>
      </c>
      <c r="AI5" s="60">
        <f t="shared" si="3"/>
        <v>108191.58266999999</v>
      </c>
      <c r="AJ5" s="61">
        <f t="shared" si="3"/>
        <v>0</v>
      </c>
      <c r="AK5" s="60">
        <f t="shared" ref="AK5:AK28" si="4">-AE5</f>
        <v>0</v>
      </c>
      <c r="AL5" s="60">
        <f t="shared" ref="AL5:AL28" si="5">+Z5-AF5</f>
        <v>270811.05176999996</v>
      </c>
    </row>
    <row r="6" spans="1:39" s="62" customFormat="1" ht="25.5" customHeight="1" x14ac:dyDescent="0.2">
      <c r="A6" s="63" t="s">
        <v>208</v>
      </c>
      <c r="B6" s="64" t="s">
        <v>40</v>
      </c>
      <c r="C6" s="65">
        <v>35.069798300000002</v>
      </c>
      <c r="D6" s="65">
        <v>-85.135412052999996</v>
      </c>
      <c r="E6" s="66" t="s">
        <v>113</v>
      </c>
      <c r="F6" s="65">
        <v>26502</v>
      </c>
      <c r="G6" s="67">
        <v>40512</v>
      </c>
      <c r="H6" s="68" t="s">
        <v>144</v>
      </c>
      <c r="I6" s="69"/>
      <c r="J6" s="65" t="s">
        <v>81</v>
      </c>
      <c r="K6" s="67">
        <v>40513</v>
      </c>
      <c r="L6" s="68" t="s">
        <v>144</v>
      </c>
      <c r="M6" s="69"/>
      <c r="N6" s="70">
        <v>2012</v>
      </c>
      <c r="O6" s="70">
        <v>2022</v>
      </c>
      <c r="P6" s="71">
        <v>1249</v>
      </c>
      <c r="Q6" s="72">
        <v>30500</v>
      </c>
      <c r="R6" s="54" t="s">
        <v>224</v>
      </c>
      <c r="S6" s="74">
        <f>51000000+40000000</f>
        <v>91000000</v>
      </c>
      <c r="T6" s="74"/>
      <c r="U6" s="145">
        <v>26128360</v>
      </c>
      <c r="V6" s="69"/>
      <c r="W6" s="75">
        <f>+$U6*W$1/100</f>
        <v>594942.75720000011</v>
      </c>
      <c r="X6" s="75">
        <f>+$U6*X$1/100</f>
        <v>395818.52563999995</v>
      </c>
      <c r="Y6" s="75">
        <f>+$U6*Y$1/100</f>
        <v>326682.88507999998</v>
      </c>
      <c r="Z6" s="75">
        <f>+W6+X6+Y6</f>
        <v>1317444.1679199999</v>
      </c>
      <c r="AA6" s="69"/>
      <c r="AB6" s="76">
        <v>0</v>
      </c>
      <c r="AC6" s="77">
        <v>0</v>
      </c>
      <c r="AD6" s="77">
        <f>Y6</f>
        <v>326682.88507999998</v>
      </c>
      <c r="AE6" s="77"/>
      <c r="AF6" s="77">
        <f>+AB6+AC6+AD6+AE6</f>
        <v>326682.88507999998</v>
      </c>
      <c r="AG6" s="69"/>
      <c r="AH6" s="78">
        <f>+W6-AB6</f>
        <v>594942.75720000011</v>
      </c>
      <c r="AI6" s="79">
        <f>+X6-AC6</f>
        <v>395818.52563999995</v>
      </c>
      <c r="AJ6" s="79">
        <f>+Y6-AD6</f>
        <v>0</v>
      </c>
      <c r="AK6" s="79">
        <f>-AE6</f>
        <v>0</v>
      </c>
      <c r="AL6" s="79">
        <f>+Z6-AF6</f>
        <v>990761.28284</v>
      </c>
    </row>
    <row r="7" spans="1:39" s="62" customFormat="1" ht="25.5" customHeight="1" x14ac:dyDescent="0.2">
      <c r="A7" s="63" t="s">
        <v>96</v>
      </c>
      <c r="B7" s="64" t="s">
        <v>10</v>
      </c>
      <c r="C7" s="80">
        <v>34.998956</v>
      </c>
      <c r="D7" s="80">
        <v>-85.298479</v>
      </c>
      <c r="E7" s="81" t="s">
        <v>114</v>
      </c>
      <c r="F7" s="65">
        <v>24775</v>
      </c>
      <c r="G7" s="67">
        <v>38874</v>
      </c>
      <c r="H7" s="68" t="s">
        <v>144</v>
      </c>
      <c r="I7" s="69"/>
      <c r="J7" s="80" t="s">
        <v>82</v>
      </c>
      <c r="K7" s="82">
        <v>38875</v>
      </c>
      <c r="L7" s="83" t="s">
        <v>144</v>
      </c>
      <c r="M7" s="69"/>
      <c r="N7" s="84">
        <v>2007</v>
      </c>
      <c r="O7" s="84">
        <v>2017</v>
      </c>
      <c r="P7" s="85">
        <v>66</v>
      </c>
      <c r="Q7" s="72">
        <v>53000</v>
      </c>
      <c r="R7" s="73" t="s">
        <v>225</v>
      </c>
      <c r="S7" s="74">
        <v>13590000</v>
      </c>
      <c r="T7" s="74"/>
      <c r="U7" s="145">
        <f>149400+634339+586520+305376</f>
        <v>1675635</v>
      </c>
      <c r="V7" s="69"/>
      <c r="W7" s="75">
        <f t="shared" si="0"/>
        <v>38154.20895</v>
      </c>
      <c r="X7" s="75">
        <f t="shared" si="0"/>
        <v>25384.194614999997</v>
      </c>
      <c r="Y7" s="75">
        <f t="shared" si="0"/>
        <v>20950.464404999999</v>
      </c>
      <c r="Z7" s="75">
        <f t="shared" si="1"/>
        <v>84488.867969999992</v>
      </c>
      <c r="AA7" s="69"/>
      <c r="AB7" s="86">
        <f t="shared" ref="AB7:AD8" si="6">W7/2</f>
        <v>19077.104475</v>
      </c>
      <c r="AC7" s="86">
        <f t="shared" si="6"/>
        <v>12692.097307499998</v>
      </c>
      <c r="AD7" s="86">
        <f t="shared" si="6"/>
        <v>10475.232202499999</v>
      </c>
      <c r="AE7" s="77"/>
      <c r="AF7" s="77">
        <f t="shared" si="2"/>
        <v>42244.433984999996</v>
      </c>
      <c r="AG7" s="69"/>
      <c r="AH7" s="78">
        <f t="shared" si="3"/>
        <v>19077.104475</v>
      </c>
      <c r="AI7" s="79">
        <f t="shared" si="3"/>
        <v>12692.097307499998</v>
      </c>
      <c r="AJ7" s="79">
        <f t="shared" si="3"/>
        <v>10475.232202499999</v>
      </c>
      <c r="AK7" s="79">
        <f t="shared" si="4"/>
        <v>0</v>
      </c>
      <c r="AL7" s="79">
        <f t="shared" si="5"/>
        <v>42244.433984999996</v>
      </c>
    </row>
    <row r="8" spans="1:39" s="62" customFormat="1" ht="25.5" customHeight="1" x14ac:dyDescent="0.2">
      <c r="A8" s="63" t="s">
        <v>209</v>
      </c>
      <c r="B8" s="64" t="s">
        <v>17</v>
      </c>
      <c r="C8" s="65">
        <v>34.988210000000002</v>
      </c>
      <c r="D8" s="65">
        <v>-85.309032000000002</v>
      </c>
      <c r="E8" s="66" t="s">
        <v>120</v>
      </c>
      <c r="F8" s="65">
        <v>24775</v>
      </c>
      <c r="G8" s="67">
        <v>38874</v>
      </c>
      <c r="H8" s="68" t="s">
        <v>144</v>
      </c>
      <c r="I8" s="69"/>
      <c r="J8" s="80" t="s">
        <v>82</v>
      </c>
      <c r="K8" s="82">
        <v>38875</v>
      </c>
      <c r="L8" s="83" t="s">
        <v>144</v>
      </c>
      <c r="M8" s="69"/>
      <c r="N8" s="84">
        <v>2007</v>
      </c>
      <c r="O8" s="84">
        <v>2017</v>
      </c>
      <c r="P8" s="85">
        <v>66</v>
      </c>
      <c r="Q8" s="72">
        <v>53000</v>
      </c>
      <c r="R8" s="73" t="s">
        <v>225</v>
      </c>
      <c r="S8" s="74">
        <v>13590000</v>
      </c>
      <c r="T8" s="74"/>
      <c r="U8" s="145">
        <f>1279480+115136</f>
        <v>1394616</v>
      </c>
      <c r="V8" s="69"/>
      <c r="W8" s="75">
        <f t="shared" si="0"/>
        <v>31755.406320000002</v>
      </c>
      <c r="X8" s="75">
        <f t="shared" si="0"/>
        <v>21127.037783999996</v>
      </c>
      <c r="Y8" s="75">
        <f t="shared" si="0"/>
        <v>17436.883847999998</v>
      </c>
      <c r="Z8" s="75">
        <f t="shared" ref="Z8" si="7">+W8+X8+Y8</f>
        <v>70319.327951999992</v>
      </c>
      <c r="AA8" s="69"/>
      <c r="AB8" s="87">
        <f t="shared" si="6"/>
        <v>15877.703160000001</v>
      </c>
      <c r="AC8" s="87">
        <f t="shared" si="6"/>
        <v>10563.518891999998</v>
      </c>
      <c r="AD8" s="87">
        <f t="shared" si="6"/>
        <v>8718.4419239999988</v>
      </c>
      <c r="AE8" s="77"/>
      <c r="AF8" s="77">
        <f t="shared" ref="AF8" si="8">+AB8+AC8+AD8+AE8</f>
        <v>35159.663975999996</v>
      </c>
      <c r="AG8" s="69"/>
      <c r="AH8" s="78">
        <f t="shared" ref="AH8" si="9">+W8-AB8</f>
        <v>15877.703160000001</v>
      </c>
      <c r="AI8" s="79">
        <f t="shared" ref="AI8" si="10">+X8-AC8</f>
        <v>10563.518891999998</v>
      </c>
      <c r="AJ8" s="79">
        <f t="shared" ref="AJ8" si="11">+Y8-AD8</f>
        <v>8718.4419239999988</v>
      </c>
      <c r="AK8" s="79">
        <f t="shared" ref="AK8" si="12">-AE8</f>
        <v>0</v>
      </c>
      <c r="AL8" s="79">
        <f t="shared" ref="AL8" si="13">+Z8-AF8</f>
        <v>35159.663975999996</v>
      </c>
    </row>
    <row r="9" spans="1:39" s="62" customFormat="1" ht="25.5" customHeight="1" x14ac:dyDescent="0.2">
      <c r="A9" s="63" t="s">
        <v>210</v>
      </c>
      <c r="B9" s="64" t="s">
        <v>29</v>
      </c>
      <c r="C9" s="65">
        <v>35.057279000000001</v>
      </c>
      <c r="D9" s="65">
        <v>-85.326257999999996</v>
      </c>
      <c r="E9" s="66" t="s">
        <v>128</v>
      </c>
      <c r="F9" s="65">
        <v>25297</v>
      </c>
      <c r="G9" s="67">
        <v>39364</v>
      </c>
      <c r="H9" s="68" t="s">
        <v>144</v>
      </c>
      <c r="I9" s="69"/>
      <c r="J9" s="80" t="s">
        <v>82</v>
      </c>
      <c r="K9" s="82">
        <v>38875</v>
      </c>
      <c r="L9" s="83" t="s">
        <v>144</v>
      </c>
      <c r="M9" s="69"/>
      <c r="N9" s="84">
        <v>2007</v>
      </c>
      <c r="O9" s="84">
        <v>2017</v>
      </c>
      <c r="P9" s="85">
        <v>66</v>
      </c>
      <c r="Q9" s="72">
        <v>53000</v>
      </c>
      <c r="R9" s="73" t="s">
        <v>225</v>
      </c>
      <c r="S9" s="74">
        <v>13590000</v>
      </c>
      <c r="T9" s="74"/>
      <c r="U9" s="145">
        <f>1253560+388083</f>
        <v>1641643</v>
      </c>
      <c r="V9" s="69"/>
      <c r="W9" s="75">
        <f>+$U9*W$1/100</f>
        <v>37380.211110000004</v>
      </c>
      <c r="X9" s="75">
        <f>+$U9*X$1/100</f>
        <v>24869.249806999997</v>
      </c>
      <c r="Y9" s="75">
        <f>+$U9*Y$1/100</f>
        <v>20525.462428999999</v>
      </c>
      <c r="Z9" s="75">
        <f>+W9+X9+Y9</f>
        <v>82774.923345999996</v>
      </c>
      <c r="AA9" s="69"/>
      <c r="AB9" s="87">
        <f>W9/2</f>
        <v>18690.105555000002</v>
      </c>
      <c r="AC9" s="87">
        <f>X9/2</f>
        <v>12434.624903499998</v>
      </c>
      <c r="AD9" s="87">
        <f>Y9/2</f>
        <v>10262.7312145</v>
      </c>
      <c r="AE9" s="77"/>
      <c r="AF9" s="77">
        <f>+AB9+AC9+AD9+AE9</f>
        <v>41387.461672999998</v>
      </c>
      <c r="AG9" s="69"/>
      <c r="AH9" s="78">
        <f>+W9-AB9</f>
        <v>18690.105555000002</v>
      </c>
      <c r="AI9" s="79">
        <f>+X9-AC9</f>
        <v>12434.624903499998</v>
      </c>
      <c r="AJ9" s="79">
        <f>+Y9-AD9</f>
        <v>10262.7312145</v>
      </c>
      <c r="AK9" s="79">
        <f>-AE9</f>
        <v>0</v>
      </c>
      <c r="AL9" s="79">
        <f>+Z9-AF9</f>
        <v>41387.461672999998</v>
      </c>
    </row>
    <row r="10" spans="1:39" s="62" customFormat="1" ht="25.5" customHeight="1" x14ac:dyDescent="0.2">
      <c r="A10" s="88" t="s">
        <v>211</v>
      </c>
      <c r="B10" s="89" t="s">
        <v>212</v>
      </c>
      <c r="C10" s="90">
        <v>35.052216000000001</v>
      </c>
      <c r="D10" s="90">
        <v>-85.317967999999993</v>
      </c>
      <c r="E10" s="91" t="s">
        <v>213</v>
      </c>
      <c r="F10" s="90">
        <v>24361</v>
      </c>
      <c r="G10" s="92">
        <v>38433</v>
      </c>
      <c r="H10" s="93" t="s">
        <v>144</v>
      </c>
      <c r="I10" s="94"/>
      <c r="J10" s="95" t="s">
        <v>214</v>
      </c>
      <c r="K10" s="96">
        <v>38434</v>
      </c>
      <c r="L10" s="97" t="s">
        <v>144</v>
      </c>
      <c r="M10" s="94"/>
      <c r="N10" s="98">
        <v>2010</v>
      </c>
      <c r="O10" s="98">
        <v>2025</v>
      </c>
      <c r="P10" s="99"/>
      <c r="Q10" s="100"/>
      <c r="R10" s="101" t="s">
        <v>11</v>
      </c>
      <c r="S10" s="102"/>
      <c r="T10" s="102"/>
      <c r="U10" s="214">
        <f>36303760+40705200+412320+8065404</f>
        <v>85486684</v>
      </c>
      <c r="V10" s="94"/>
      <c r="W10" s="103">
        <f t="shared" ref="W10:Y10" si="14">+$U10*W$1/100</f>
        <v>1946531.7946800003</v>
      </c>
      <c r="X10" s="103">
        <f t="shared" si="14"/>
        <v>1295037.7759159999</v>
      </c>
      <c r="Y10" s="103">
        <f t="shared" si="14"/>
        <v>1068840.0100519999</v>
      </c>
      <c r="Z10" s="103">
        <f t="shared" ref="Z10" si="15">+W10+X10+Y10</f>
        <v>4310409.5806480004</v>
      </c>
      <c r="AA10" s="94"/>
      <c r="AB10" s="104">
        <f t="shared" ref="AB10:AD10" si="16">W10/2</f>
        <v>973265.89734000014</v>
      </c>
      <c r="AC10" s="104">
        <f t="shared" si="16"/>
        <v>647518.88795799995</v>
      </c>
      <c r="AD10" s="104">
        <f t="shared" si="16"/>
        <v>534420.00502599997</v>
      </c>
      <c r="AE10" s="105"/>
      <c r="AF10" s="105">
        <f t="shared" ref="AF10" si="17">+AB10+AC10+AD10+AE10</f>
        <v>2155204.7903240002</v>
      </c>
      <c r="AG10" s="94"/>
      <c r="AH10" s="106">
        <f t="shared" ref="AH10:AJ10" si="18">+W10-AB10</f>
        <v>973265.89734000014</v>
      </c>
      <c r="AI10" s="106">
        <f t="shared" si="18"/>
        <v>647518.88795799995</v>
      </c>
      <c r="AJ10" s="106">
        <f t="shared" si="18"/>
        <v>534420.00502599997</v>
      </c>
      <c r="AK10" s="106">
        <f t="shared" ref="AK10" si="19">-AE10</f>
        <v>0</v>
      </c>
      <c r="AL10" s="106">
        <f t="shared" ref="AL10" si="20">+Z10-AF10</f>
        <v>2155204.7903240002</v>
      </c>
    </row>
    <row r="11" spans="1:39" s="62" customFormat="1" ht="25.5" customHeight="1" x14ac:dyDescent="0.2">
      <c r="A11" s="63" t="s">
        <v>109</v>
      </c>
      <c r="B11" s="64" t="s">
        <v>12</v>
      </c>
      <c r="C11" s="65">
        <v>35.016125000000002</v>
      </c>
      <c r="D11" s="65">
        <v>-85.321560000000005</v>
      </c>
      <c r="E11" s="66" t="s">
        <v>116</v>
      </c>
      <c r="F11" s="65">
        <v>25762</v>
      </c>
      <c r="G11" s="67">
        <v>39791</v>
      </c>
      <c r="H11" s="68" t="s">
        <v>144</v>
      </c>
      <c r="I11" s="69"/>
      <c r="J11" s="65" t="s">
        <v>86</v>
      </c>
      <c r="K11" s="67">
        <v>39799</v>
      </c>
      <c r="L11" s="68" t="s">
        <v>144</v>
      </c>
      <c r="M11" s="69"/>
      <c r="N11" s="70">
        <v>2009</v>
      </c>
      <c r="O11" s="70">
        <v>2011</v>
      </c>
      <c r="P11" s="107">
        <v>33</v>
      </c>
      <c r="Q11" s="72">
        <v>23000</v>
      </c>
      <c r="R11" s="73"/>
      <c r="S11" s="74">
        <v>7000000</v>
      </c>
      <c r="T11" s="74"/>
      <c r="U11" s="108">
        <f>1026720+1803920</f>
        <v>2830640</v>
      </c>
      <c r="V11" s="69"/>
      <c r="W11" s="75">
        <f t="shared" si="0"/>
        <v>64453.6728</v>
      </c>
      <c r="X11" s="75">
        <f t="shared" si="0"/>
        <v>42881.365359999996</v>
      </c>
      <c r="Y11" s="75">
        <f t="shared" si="0"/>
        <v>35391.49192</v>
      </c>
      <c r="Z11" s="75">
        <f t="shared" si="1"/>
        <v>142726.53008</v>
      </c>
      <c r="AA11" s="69"/>
      <c r="AB11" s="76">
        <f>+W11</f>
        <v>64453.6728</v>
      </c>
      <c r="AC11" s="109">
        <f>+X11</f>
        <v>42881.365359999996</v>
      </c>
      <c r="AD11" s="109">
        <f>+Y11</f>
        <v>35391.49192</v>
      </c>
      <c r="AE11" s="77"/>
      <c r="AF11" s="77">
        <f t="shared" si="2"/>
        <v>142726.53008</v>
      </c>
      <c r="AG11" s="69"/>
      <c r="AH11" s="78">
        <f t="shared" si="3"/>
        <v>0</v>
      </c>
      <c r="AI11" s="79">
        <f t="shared" si="3"/>
        <v>0</v>
      </c>
      <c r="AJ11" s="79">
        <f t="shared" si="3"/>
        <v>0</v>
      </c>
      <c r="AK11" s="79">
        <f t="shared" si="4"/>
        <v>0</v>
      </c>
      <c r="AL11" s="79">
        <f t="shared" si="5"/>
        <v>0</v>
      </c>
    </row>
    <row r="12" spans="1:39" s="62" customFormat="1" ht="25.5" customHeight="1" x14ac:dyDescent="0.2">
      <c r="A12" s="63" t="s">
        <v>110</v>
      </c>
      <c r="B12" s="64" t="s">
        <v>12</v>
      </c>
      <c r="C12" s="65">
        <v>35.016125000000002</v>
      </c>
      <c r="D12" s="65">
        <v>-85.321560000000005</v>
      </c>
      <c r="E12" s="66" t="s">
        <v>117</v>
      </c>
      <c r="F12" s="65">
        <v>25968</v>
      </c>
      <c r="G12" s="67">
        <v>39987</v>
      </c>
      <c r="H12" s="68" t="s">
        <v>144</v>
      </c>
      <c r="I12" s="69"/>
      <c r="J12" s="65" t="s">
        <v>84</v>
      </c>
      <c r="K12" s="67">
        <v>39967</v>
      </c>
      <c r="L12" s="68" t="s">
        <v>144</v>
      </c>
      <c r="M12" s="69"/>
      <c r="N12" s="70">
        <v>2011</v>
      </c>
      <c r="O12" s="70">
        <v>2018</v>
      </c>
      <c r="P12" s="107">
        <v>60</v>
      </c>
      <c r="Q12" s="72">
        <v>29000</v>
      </c>
      <c r="R12" s="73"/>
      <c r="S12" s="74">
        <f>10800000+24700000</f>
        <v>35500000</v>
      </c>
      <c r="T12" s="74"/>
      <c r="U12" s="108">
        <f>2292100+1850633</f>
        <v>4142733</v>
      </c>
      <c r="V12" s="69"/>
      <c r="W12" s="75">
        <f t="shared" si="0"/>
        <v>94330.030410000007</v>
      </c>
      <c r="X12" s="75">
        <f t="shared" si="0"/>
        <v>62758.262216999996</v>
      </c>
      <c r="Y12" s="75">
        <f>ROUND(+$U12*Y$1/100,0)</f>
        <v>51797</v>
      </c>
      <c r="Z12" s="75">
        <f t="shared" si="1"/>
        <v>208885.29262700002</v>
      </c>
      <c r="AA12" s="69"/>
      <c r="AB12" s="76">
        <v>0</v>
      </c>
      <c r="AC12" s="77">
        <v>0</v>
      </c>
      <c r="AD12" s="77">
        <f>ROUND(28658.13+23138.46,0)</f>
        <v>51797</v>
      </c>
      <c r="AE12" s="77"/>
      <c r="AF12" s="77">
        <f t="shared" si="2"/>
        <v>51797</v>
      </c>
      <c r="AG12" s="69"/>
      <c r="AH12" s="78">
        <f t="shared" si="3"/>
        <v>94330.030410000007</v>
      </c>
      <c r="AI12" s="79">
        <f t="shared" si="3"/>
        <v>62758.262216999996</v>
      </c>
      <c r="AJ12" s="79">
        <f t="shared" si="3"/>
        <v>0</v>
      </c>
      <c r="AK12" s="79">
        <f t="shared" si="4"/>
        <v>0</v>
      </c>
      <c r="AL12" s="79">
        <f t="shared" si="5"/>
        <v>157088.29262700002</v>
      </c>
    </row>
    <row r="13" spans="1:39" s="62" customFormat="1" ht="51" customHeight="1" x14ac:dyDescent="0.2">
      <c r="A13" s="63" t="s">
        <v>108</v>
      </c>
      <c r="B13" s="64" t="s">
        <v>12</v>
      </c>
      <c r="C13" s="65"/>
      <c r="D13" s="65"/>
      <c r="E13" s="66"/>
      <c r="F13" s="65">
        <v>27931</v>
      </c>
      <c r="G13" s="67">
        <v>41838</v>
      </c>
      <c r="H13" s="68" t="s">
        <v>144</v>
      </c>
      <c r="I13" s="69"/>
      <c r="J13" s="65" t="s">
        <v>85</v>
      </c>
      <c r="K13" s="67">
        <v>41822</v>
      </c>
      <c r="L13" s="68" t="s">
        <v>144</v>
      </c>
      <c r="M13" s="69"/>
      <c r="N13" s="70">
        <v>2016</v>
      </c>
      <c r="O13" s="70">
        <v>2019</v>
      </c>
      <c r="P13" s="107">
        <v>25</v>
      </c>
      <c r="Q13" s="72">
        <v>43500</v>
      </c>
      <c r="R13" s="73" t="s">
        <v>226</v>
      </c>
      <c r="S13" s="74">
        <v>6000000</v>
      </c>
      <c r="T13" s="74"/>
      <c r="U13" s="215"/>
      <c r="V13" s="69"/>
      <c r="W13" s="75">
        <f t="shared" si="0"/>
        <v>0</v>
      </c>
      <c r="X13" s="75">
        <f t="shared" si="0"/>
        <v>0</v>
      </c>
      <c r="Y13" s="75">
        <f t="shared" si="0"/>
        <v>0</v>
      </c>
      <c r="Z13" s="75">
        <f t="shared" si="1"/>
        <v>0</v>
      </c>
      <c r="AA13" s="69"/>
      <c r="AB13" s="77">
        <v>0</v>
      </c>
      <c r="AC13" s="77">
        <v>0</v>
      </c>
      <c r="AD13" s="77">
        <v>0</v>
      </c>
      <c r="AE13" s="77"/>
      <c r="AF13" s="77">
        <f t="shared" si="2"/>
        <v>0</v>
      </c>
      <c r="AG13" s="69"/>
      <c r="AH13" s="78">
        <f t="shared" si="3"/>
        <v>0</v>
      </c>
      <c r="AI13" s="79">
        <f t="shared" si="3"/>
        <v>0</v>
      </c>
      <c r="AJ13" s="79">
        <f t="shared" si="3"/>
        <v>0</v>
      </c>
      <c r="AK13" s="79">
        <f t="shared" si="4"/>
        <v>0</v>
      </c>
      <c r="AL13" s="79">
        <f t="shared" si="5"/>
        <v>0</v>
      </c>
    </row>
    <row r="14" spans="1:39" s="62" customFormat="1" ht="25.5" customHeight="1" x14ac:dyDescent="0.2">
      <c r="A14" s="63" t="s">
        <v>146</v>
      </c>
      <c r="B14" s="64" t="s">
        <v>13</v>
      </c>
      <c r="C14" s="65">
        <v>35.047637000000002</v>
      </c>
      <c r="D14" s="65">
        <v>-85.186363</v>
      </c>
      <c r="E14" s="66" t="s">
        <v>192</v>
      </c>
      <c r="F14" s="65">
        <v>27804</v>
      </c>
      <c r="G14" s="67">
        <v>41709</v>
      </c>
      <c r="H14" s="68" t="s">
        <v>144</v>
      </c>
      <c r="I14" s="69"/>
      <c r="J14" s="70" t="s">
        <v>136</v>
      </c>
      <c r="K14" s="110">
        <v>41717</v>
      </c>
      <c r="L14" s="68" t="s">
        <v>144</v>
      </c>
      <c r="M14" s="69"/>
      <c r="N14" s="70">
        <v>2016</v>
      </c>
      <c r="O14" s="70">
        <v>2027</v>
      </c>
      <c r="P14" s="85">
        <f>43+270</f>
        <v>313</v>
      </c>
      <c r="Q14" s="72">
        <v>45000</v>
      </c>
      <c r="R14" s="73" t="s">
        <v>14</v>
      </c>
      <c r="S14" s="74">
        <v>62000000</v>
      </c>
      <c r="T14" s="74"/>
      <c r="U14" s="145">
        <f>17694680+4059906</f>
        <v>21754586</v>
      </c>
      <c r="V14" s="69"/>
      <c r="W14" s="75">
        <f t="shared" si="0"/>
        <v>495351.92322000006</v>
      </c>
      <c r="X14" s="75">
        <f t="shared" si="0"/>
        <v>329560.223314</v>
      </c>
      <c r="Y14" s="75">
        <f t="shared" si="0"/>
        <v>271997.588758</v>
      </c>
      <c r="Z14" s="75">
        <f t="shared" si="1"/>
        <v>1096909.735292</v>
      </c>
      <c r="AA14" s="69"/>
      <c r="AB14" s="77">
        <v>0</v>
      </c>
      <c r="AC14" s="77">
        <v>0</v>
      </c>
      <c r="AD14" s="77">
        <f>Y14</f>
        <v>271997.588758</v>
      </c>
      <c r="AE14" s="77"/>
      <c r="AF14" s="77">
        <f t="shared" si="2"/>
        <v>271997.588758</v>
      </c>
      <c r="AG14" s="69"/>
      <c r="AH14" s="78">
        <f t="shared" si="3"/>
        <v>495351.92322000006</v>
      </c>
      <c r="AI14" s="79">
        <f t="shared" si="3"/>
        <v>329560.223314</v>
      </c>
      <c r="AJ14" s="79">
        <f t="shared" si="3"/>
        <v>0</v>
      </c>
      <c r="AK14" s="79">
        <f t="shared" si="4"/>
        <v>0</v>
      </c>
      <c r="AL14" s="79">
        <f t="shared" si="5"/>
        <v>824912.14653400006</v>
      </c>
    </row>
    <row r="15" spans="1:39" s="62" customFormat="1" ht="25.5" customHeight="1" x14ac:dyDescent="0.2">
      <c r="A15" s="63" t="s">
        <v>41</v>
      </c>
      <c r="B15" s="64" t="s">
        <v>42</v>
      </c>
      <c r="C15" s="111"/>
      <c r="D15" s="111"/>
      <c r="E15" s="66" t="s">
        <v>118</v>
      </c>
      <c r="F15" s="65">
        <v>26092</v>
      </c>
      <c r="G15" s="67">
        <v>40092</v>
      </c>
      <c r="H15" s="68" t="s">
        <v>144</v>
      </c>
      <c r="I15" s="69"/>
      <c r="J15" s="65" t="s">
        <v>87</v>
      </c>
      <c r="K15" s="67">
        <v>40087</v>
      </c>
      <c r="L15" s="83" t="s">
        <v>144</v>
      </c>
      <c r="M15" s="69"/>
      <c r="N15" s="70">
        <v>2010</v>
      </c>
      <c r="O15" s="70">
        <v>2017</v>
      </c>
      <c r="P15" s="107">
        <v>120</v>
      </c>
      <c r="Q15" s="72"/>
      <c r="R15" s="73"/>
      <c r="S15" s="74">
        <v>5500000</v>
      </c>
      <c r="T15" s="74"/>
      <c r="U15" s="145">
        <v>2157439</v>
      </c>
      <c r="V15" s="69"/>
      <c r="W15" s="75">
        <f t="shared" si="0"/>
        <v>49124.886030000001</v>
      </c>
      <c r="X15" s="75">
        <f t="shared" si="0"/>
        <v>32683.043410999999</v>
      </c>
      <c r="Y15" s="75">
        <f t="shared" si="0"/>
        <v>26974.459816999999</v>
      </c>
      <c r="Z15" s="75">
        <f t="shared" si="1"/>
        <v>108782.389258</v>
      </c>
      <c r="AA15" s="69"/>
      <c r="AB15" s="76">
        <v>0</v>
      </c>
      <c r="AC15" s="77">
        <v>0</v>
      </c>
      <c r="AD15" s="77">
        <f>Y15</f>
        <v>26974.459816999999</v>
      </c>
      <c r="AE15" s="77"/>
      <c r="AF15" s="77">
        <f t="shared" si="2"/>
        <v>26974.459816999999</v>
      </c>
      <c r="AG15" s="69"/>
      <c r="AH15" s="78">
        <f t="shared" si="3"/>
        <v>49124.886030000001</v>
      </c>
      <c r="AI15" s="79">
        <f t="shared" si="3"/>
        <v>32683.043410999999</v>
      </c>
      <c r="AJ15" s="79">
        <f t="shared" si="3"/>
        <v>0</v>
      </c>
      <c r="AK15" s="79">
        <f t="shared" si="4"/>
        <v>0</v>
      </c>
      <c r="AL15" s="79">
        <f t="shared" si="5"/>
        <v>81807.929441</v>
      </c>
    </row>
    <row r="16" spans="1:39" s="62" customFormat="1" ht="25.5" customHeight="1" x14ac:dyDescent="0.2">
      <c r="A16" s="112" t="s">
        <v>152</v>
      </c>
      <c r="B16" s="113"/>
      <c r="C16" s="114"/>
      <c r="D16" s="114"/>
      <c r="E16" s="115" t="s">
        <v>234</v>
      </c>
      <c r="F16" s="65">
        <v>28302</v>
      </c>
      <c r="G16" s="67">
        <v>42185</v>
      </c>
      <c r="H16" s="116" t="s">
        <v>144</v>
      </c>
      <c r="I16" s="69"/>
      <c r="J16" s="66" t="s">
        <v>167</v>
      </c>
      <c r="K16" s="117">
        <v>42186</v>
      </c>
      <c r="L16" s="116" t="s">
        <v>144</v>
      </c>
      <c r="M16" s="69"/>
      <c r="N16" s="70">
        <v>2017</v>
      </c>
      <c r="O16" s="70">
        <v>2026</v>
      </c>
      <c r="P16" s="107">
        <v>136</v>
      </c>
      <c r="Q16" s="72"/>
      <c r="R16" s="73"/>
      <c r="S16" s="74">
        <v>39100000</v>
      </c>
      <c r="T16" s="74"/>
      <c r="U16" s="220">
        <f>15619800+9472444</f>
        <v>25092244</v>
      </c>
      <c r="V16" s="69"/>
      <c r="W16" s="75">
        <f>U16*W1/100</f>
        <v>571350.39588000008</v>
      </c>
      <c r="X16" s="75">
        <f>U16*X1/100</f>
        <v>380122.40435599996</v>
      </c>
      <c r="Y16" s="75">
        <f>U16*Y1/100</f>
        <v>313728.32673199999</v>
      </c>
      <c r="Z16" s="75">
        <f t="shared" ref="Z16" si="21">+W16+X16+Y16</f>
        <v>1265201.1269680001</v>
      </c>
      <c r="AA16" s="69"/>
      <c r="AB16" s="76">
        <v>0</v>
      </c>
      <c r="AC16" s="118">
        <v>0</v>
      </c>
      <c r="AD16" s="77">
        <f>Y16</f>
        <v>313728.32673199999</v>
      </c>
      <c r="AE16" s="77">
        <f>SUM(X16:Y16)*0.1253+SUM(W16*0.15)</f>
        <v>172642.05598732637</v>
      </c>
      <c r="AF16" s="77">
        <f>SUM(AB16:AE16)</f>
        <v>486370.38271932636</v>
      </c>
      <c r="AG16" s="69"/>
      <c r="AH16" s="78">
        <f t="shared" si="3"/>
        <v>571350.39588000008</v>
      </c>
      <c r="AI16" s="79">
        <f t="shared" si="3"/>
        <v>380122.40435599996</v>
      </c>
      <c r="AJ16" s="79"/>
      <c r="AK16" s="79"/>
      <c r="AL16" s="79">
        <f t="shared" si="5"/>
        <v>778830.74424867379</v>
      </c>
      <c r="AM16" s="119"/>
    </row>
    <row r="17" spans="1:40" s="62" customFormat="1" ht="25.5" customHeight="1" x14ac:dyDescent="0.2">
      <c r="A17" s="112" t="s">
        <v>215</v>
      </c>
      <c r="B17" s="113"/>
      <c r="C17" s="114"/>
      <c r="D17" s="114"/>
      <c r="E17" s="115"/>
      <c r="F17" s="65">
        <v>29035</v>
      </c>
      <c r="G17" s="67">
        <v>42871</v>
      </c>
      <c r="H17" s="116" t="s">
        <v>144</v>
      </c>
      <c r="I17" s="69"/>
      <c r="J17" s="66" t="s">
        <v>216</v>
      </c>
      <c r="K17" s="117">
        <v>42872</v>
      </c>
      <c r="L17" s="116" t="s">
        <v>144</v>
      </c>
      <c r="M17" s="69"/>
      <c r="N17" s="70">
        <v>2019</v>
      </c>
      <c r="O17" s="70">
        <v>2023</v>
      </c>
      <c r="P17" s="107">
        <v>192</v>
      </c>
      <c r="Q17" s="72">
        <v>39250</v>
      </c>
      <c r="R17" s="73"/>
      <c r="S17" s="74">
        <v>5700000</v>
      </c>
      <c r="T17" s="74"/>
      <c r="U17" s="215"/>
      <c r="V17" s="69"/>
      <c r="W17" s="75"/>
      <c r="X17" s="75"/>
      <c r="Y17" s="75"/>
      <c r="Z17" s="75"/>
      <c r="AA17" s="69"/>
      <c r="AB17" s="76"/>
      <c r="AC17" s="118"/>
      <c r="AD17" s="77"/>
      <c r="AE17" s="77"/>
      <c r="AF17" s="77"/>
      <c r="AG17" s="69"/>
      <c r="AH17" s="78"/>
      <c r="AI17" s="79"/>
      <c r="AJ17" s="79"/>
      <c r="AK17" s="79"/>
      <c r="AL17" s="79"/>
      <c r="AM17" s="119"/>
    </row>
    <row r="18" spans="1:40" s="62" customFormat="1" ht="25.5" customHeight="1" x14ac:dyDescent="0.2">
      <c r="A18" s="63" t="s">
        <v>20</v>
      </c>
      <c r="B18" s="64" t="s">
        <v>21</v>
      </c>
      <c r="C18" s="65">
        <v>35.030859</v>
      </c>
      <c r="D18" s="65">
        <v>-85.161440999999996</v>
      </c>
      <c r="E18" s="66" t="s">
        <v>119</v>
      </c>
      <c r="F18" s="65">
        <v>25042</v>
      </c>
      <c r="G18" s="67">
        <v>39133</v>
      </c>
      <c r="H18" s="68" t="s">
        <v>144</v>
      </c>
      <c r="I18" s="69"/>
      <c r="J18" s="65" t="s">
        <v>88</v>
      </c>
      <c r="K18" s="67">
        <v>39134</v>
      </c>
      <c r="L18" s="83" t="s">
        <v>144</v>
      </c>
      <c r="M18" s="69"/>
      <c r="N18" s="70">
        <v>2008</v>
      </c>
      <c r="O18" s="70">
        <v>2020</v>
      </c>
      <c r="P18" s="107">
        <v>104</v>
      </c>
      <c r="Q18" s="72">
        <v>56500</v>
      </c>
      <c r="R18" s="73"/>
      <c r="S18" s="74">
        <v>11000000</v>
      </c>
      <c r="T18" s="74"/>
      <c r="U18" s="145">
        <f>4419480+67200</f>
        <v>4486680</v>
      </c>
      <c r="V18" s="69"/>
      <c r="W18" s="75">
        <f t="shared" ref="W18:Y25" si="22">+$U18*W$1/100</f>
        <v>102161.70360000001</v>
      </c>
      <c r="X18" s="75">
        <f t="shared" si="22"/>
        <v>67968.715320000003</v>
      </c>
      <c r="Y18" s="75">
        <f t="shared" si="22"/>
        <v>56096.960039999998</v>
      </c>
      <c r="Z18" s="75">
        <f t="shared" si="1"/>
        <v>226227.37896000003</v>
      </c>
      <c r="AA18" s="69"/>
      <c r="AB18" s="86">
        <f t="shared" ref="AB18:AD18" si="23">W18/2</f>
        <v>51080.851800000004</v>
      </c>
      <c r="AC18" s="86">
        <f t="shared" si="23"/>
        <v>33984.357660000001</v>
      </c>
      <c r="AD18" s="86">
        <f t="shared" si="23"/>
        <v>28048.480019999999</v>
      </c>
      <c r="AE18" s="77"/>
      <c r="AF18" s="77">
        <f t="shared" si="2"/>
        <v>113113.68948000002</v>
      </c>
      <c r="AG18" s="69"/>
      <c r="AH18" s="78">
        <f t="shared" si="3"/>
        <v>51080.851800000004</v>
      </c>
      <c r="AI18" s="79">
        <f t="shared" si="3"/>
        <v>33984.357660000001</v>
      </c>
      <c r="AJ18" s="79">
        <f t="shared" si="3"/>
        <v>28048.480019999999</v>
      </c>
      <c r="AK18" s="79">
        <f t="shared" si="4"/>
        <v>0</v>
      </c>
      <c r="AL18" s="79">
        <f t="shared" si="5"/>
        <v>113113.68948000002</v>
      </c>
    </row>
    <row r="19" spans="1:40" s="62" customFormat="1" ht="25.5" customHeight="1" x14ac:dyDescent="0.2">
      <c r="A19" s="63" t="s">
        <v>24</v>
      </c>
      <c r="B19" s="64" t="s">
        <v>25</v>
      </c>
      <c r="C19" s="65">
        <v>35.077647599999999</v>
      </c>
      <c r="D19" s="65">
        <v>-85.153917399999997</v>
      </c>
      <c r="E19" s="66" t="s">
        <v>180</v>
      </c>
      <c r="F19" s="65">
        <v>27892</v>
      </c>
      <c r="G19" s="67">
        <v>41793</v>
      </c>
      <c r="H19" s="68" t="s">
        <v>144</v>
      </c>
      <c r="I19" s="69"/>
      <c r="J19" s="65" t="s">
        <v>90</v>
      </c>
      <c r="K19" s="67">
        <v>41794</v>
      </c>
      <c r="L19" s="68" t="s">
        <v>144</v>
      </c>
      <c r="M19" s="69"/>
      <c r="N19" s="70">
        <v>2014</v>
      </c>
      <c r="O19" s="70">
        <v>2025</v>
      </c>
      <c r="P19" s="85">
        <v>250</v>
      </c>
      <c r="Q19" s="72">
        <v>44699</v>
      </c>
      <c r="R19" s="73"/>
      <c r="S19" s="74">
        <v>50000000</v>
      </c>
      <c r="T19" s="74"/>
      <c r="U19" s="145">
        <f>7635440+9684011</f>
        <v>17319451</v>
      </c>
      <c r="V19" s="69"/>
      <c r="W19" s="75">
        <f t="shared" si="22"/>
        <v>394363.89926999999</v>
      </c>
      <c r="X19" s="75">
        <f t="shared" si="22"/>
        <v>262372.36319900001</v>
      </c>
      <c r="Y19" s="75">
        <f t="shared" si="22"/>
        <v>216545.09585299998</v>
      </c>
      <c r="Z19" s="75">
        <f t="shared" si="1"/>
        <v>873281.3583219999</v>
      </c>
      <c r="AA19" s="69"/>
      <c r="AB19" s="76">
        <f>43464.74+55126.24</f>
        <v>98590.98</v>
      </c>
      <c r="AC19" s="76">
        <f>28917.32+36675.77</f>
        <v>65593.09</v>
      </c>
      <c r="AD19" s="76">
        <f>Y19</f>
        <v>216545.09585299998</v>
      </c>
      <c r="AE19" s="77">
        <f>SUM(W19:X19)*0.15</f>
        <v>98510.439370349995</v>
      </c>
      <c r="AF19" s="77">
        <f t="shared" si="2"/>
        <v>479239.60522334999</v>
      </c>
      <c r="AG19" s="69"/>
      <c r="AH19" s="78">
        <f t="shared" si="3"/>
        <v>295772.91927000001</v>
      </c>
      <c r="AI19" s="79">
        <f t="shared" si="3"/>
        <v>196779.27319900002</v>
      </c>
      <c r="AJ19" s="79">
        <f t="shared" si="3"/>
        <v>0</v>
      </c>
      <c r="AK19" s="79">
        <f t="shared" si="4"/>
        <v>-98510.439370349995</v>
      </c>
      <c r="AL19" s="79">
        <f t="shared" si="5"/>
        <v>394041.7530986499</v>
      </c>
      <c r="AN19" s="120">
        <f>+AI19*0.15</f>
        <v>29516.890979850003</v>
      </c>
    </row>
    <row r="20" spans="1:40" s="62" customFormat="1" ht="25.5" customHeight="1" x14ac:dyDescent="0.2">
      <c r="A20" s="63" t="s">
        <v>26</v>
      </c>
      <c r="B20" s="64" t="s">
        <v>27</v>
      </c>
      <c r="C20" s="65">
        <v>35.0590361</v>
      </c>
      <c r="D20" s="65">
        <v>-85.298220999999998</v>
      </c>
      <c r="E20" s="66" t="s">
        <v>125</v>
      </c>
      <c r="F20" s="65">
        <v>23190</v>
      </c>
      <c r="G20" s="67">
        <v>37208</v>
      </c>
      <c r="H20" s="68" t="s">
        <v>144</v>
      </c>
      <c r="I20" s="69"/>
      <c r="J20" s="65" t="s">
        <v>92</v>
      </c>
      <c r="K20" s="67">
        <v>37202</v>
      </c>
      <c r="L20" s="83" t="s">
        <v>144</v>
      </c>
      <c r="M20" s="69"/>
      <c r="N20" s="70">
        <v>2003</v>
      </c>
      <c r="O20" s="70">
        <v>2017</v>
      </c>
      <c r="P20" s="85"/>
      <c r="Q20" s="72"/>
      <c r="R20" s="121" t="s">
        <v>11</v>
      </c>
      <c r="S20" s="74" t="s">
        <v>11</v>
      </c>
      <c r="T20" s="74"/>
      <c r="U20" s="145">
        <f>5082120+1569</f>
        <v>5083689</v>
      </c>
      <c r="V20" s="69"/>
      <c r="W20" s="75">
        <f t="shared" si="22"/>
        <v>115755.59853</v>
      </c>
      <c r="X20" s="75">
        <f t="shared" si="22"/>
        <v>77012.804661000002</v>
      </c>
      <c r="Y20" s="75">
        <f t="shared" si="22"/>
        <v>63561.363566999993</v>
      </c>
      <c r="Z20" s="75">
        <f t="shared" si="1"/>
        <v>256329.76675799998</v>
      </c>
      <c r="AA20" s="69"/>
      <c r="AB20" s="76">
        <f>+W20*0.25</f>
        <v>28938.899632500001</v>
      </c>
      <c r="AC20" s="77">
        <f>+X20*0.25</f>
        <v>19253.20116525</v>
      </c>
      <c r="AD20" s="77">
        <f>+Y20*0.25</f>
        <v>15890.340891749998</v>
      </c>
      <c r="AE20" s="77"/>
      <c r="AF20" s="77">
        <f t="shared" si="2"/>
        <v>64082.441689499996</v>
      </c>
      <c r="AG20" s="69"/>
      <c r="AH20" s="78">
        <f t="shared" si="3"/>
        <v>86816.698897499999</v>
      </c>
      <c r="AI20" s="79">
        <f t="shared" si="3"/>
        <v>57759.603495750001</v>
      </c>
      <c r="AJ20" s="79">
        <f t="shared" si="3"/>
        <v>47671.022675249995</v>
      </c>
      <c r="AK20" s="79">
        <f t="shared" si="4"/>
        <v>0</v>
      </c>
      <c r="AL20" s="79">
        <f t="shared" si="5"/>
        <v>192247.32506849998</v>
      </c>
    </row>
    <row r="21" spans="1:40" s="62" customFormat="1" ht="30" customHeight="1" x14ac:dyDescent="0.2">
      <c r="A21" s="63" t="s">
        <v>26</v>
      </c>
      <c r="B21" s="64" t="s">
        <v>28</v>
      </c>
      <c r="C21" s="65">
        <v>35.052191000000001</v>
      </c>
      <c r="D21" s="65">
        <v>85.307854000000006</v>
      </c>
      <c r="E21" s="66" t="s">
        <v>126</v>
      </c>
      <c r="F21" s="65">
        <v>25843</v>
      </c>
      <c r="G21" s="67">
        <v>39882</v>
      </c>
      <c r="H21" s="68" t="s">
        <v>144</v>
      </c>
      <c r="I21" s="69"/>
      <c r="J21" s="65" t="s">
        <v>91</v>
      </c>
      <c r="K21" s="67">
        <v>39890</v>
      </c>
      <c r="L21" s="83" t="s">
        <v>144</v>
      </c>
      <c r="M21" s="69"/>
      <c r="N21" s="70">
        <v>2011</v>
      </c>
      <c r="O21" s="70">
        <v>2025</v>
      </c>
      <c r="P21" s="85"/>
      <c r="Q21" s="72"/>
      <c r="R21" s="121" t="s">
        <v>11</v>
      </c>
      <c r="S21" s="74">
        <v>21000000</v>
      </c>
      <c r="T21" s="74"/>
      <c r="U21" s="145">
        <v>8368120</v>
      </c>
      <c r="V21" s="69"/>
      <c r="W21" s="75">
        <f t="shared" si="22"/>
        <v>190542.09240000002</v>
      </c>
      <c r="X21" s="75">
        <f t="shared" si="22"/>
        <v>126768.64988</v>
      </c>
      <c r="Y21" s="75">
        <f t="shared" si="22"/>
        <v>104626.60435999998</v>
      </c>
      <c r="Z21" s="75">
        <f t="shared" si="1"/>
        <v>421937.34664</v>
      </c>
      <c r="AA21" s="69"/>
      <c r="AB21" s="76">
        <f>+W21*0.3</f>
        <v>57162.627720000004</v>
      </c>
      <c r="AC21" s="77">
        <f>+X21*0.3</f>
        <v>38030.594963999996</v>
      </c>
      <c r="AD21" s="77">
        <f>+Y21*0.3</f>
        <v>31387.981307999995</v>
      </c>
      <c r="AE21" s="77"/>
      <c r="AF21" s="77">
        <f t="shared" si="2"/>
        <v>126581.203992</v>
      </c>
      <c r="AG21" s="69"/>
      <c r="AH21" s="78">
        <f t="shared" si="3"/>
        <v>133379.46468000003</v>
      </c>
      <c r="AI21" s="79">
        <f t="shared" si="3"/>
        <v>88738.054915999994</v>
      </c>
      <c r="AJ21" s="79">
        <f t="shared" si="3"/>
        <v>73238.623051999981</v>
      </c>
      <c r="AK21" s="79">
        <f t="shared" si="4"/>
        <v>0</v>
      </c>
      <c r="AL21" s="79">
        <f t="shared" si="5"/>
        <v>295356.14264800004</v>
      </c>
    </row>
    <row r="22" spans="1:40" s="62" customFormat="1" ht="25.5" customHeight="1" x14ac:dyDescent="0.2">
      <c r="A22" s="63" t="s">
        <v>43</v>
      </c>
      <c r="B22" s="64" t="s">
        <v>44</v>
      </c>
      <c r="C22" s="65">
        <v>35.053296000000003</v>
      </c>
      <c r="D22" s="65">
        <v>-85.311479199999994</v>
      </c>
      <c r="E22" s="66" t="s">
        <v>127</v>
      </c>
      <c r="F22" s="65">
        <v>25682</v>
      </c>
      <c r="G22" s="67">
        <v>39721</v>
      </c>
      <c r="H22" s="68" t="s">
        <v>144</v>
      </c>
      <c r="I22" s="69"/>
      <c r="J22" s="65" t="s">
        <v>93</v>
      </c>
      <c r="K22" s="67">
        <v>39722</v>
      </c>
      <c r="L22" s="68" t="s">
        <v>144</v>
      </c>
      <c r="M22" s="69"/>
      <c r="N22" s="70">
        <v>2010</v>
      </c>
      <c r="O22" s="70">
        <v>2024</v>
      </c>
      <c r="P22" s="85"/>
      <c r="Q22" s="72"/>
      <c r="R22" s="73"/>
      <c r="S22" s="74">
        <v>7000000</v>
      </c>
      <c r="T22" s="74"/>
      <c r="U22" s="145">
        <v>4342920</v>
      </c>
      <c r="V22" s="69"/>
      <c r="W22" s="75">
        <f t="shared" si="22"/>
        <v>98888.288400000005</v>
      </c>
      <c r="X22" s="75">
        <f t="shared" si="22"/>
        <v>65790.895079999988</v>
      </c>
      <c r="Y22" s="75">
        <f t="shared" si="22"/>
        <v>54299.528760000001</v>
      </c>
      <c r="Z22" s="75">
        <f t="shared" si="1"/>
        <v>218978.71224000002</v>
      </c>
      <c r="AA22" s="69"/>
      <c r="AB22" s="76">
        <v>0</v>
      </c>
      <c r="AC22" s="77">
        <v>0</v>
      </c>
      <c r="AD22" s="77">
        <f>Y22</f>
        <v>54299.528760000001</v>
      </c>
      <c r="AE22" s="77"/>
      <c r="AF22" s="77">
        <f t="shared" si="2"/>
        <v>54299.528760000001</v>
      </c>
      <c r="AG22" s="69"/>
      <c r="AH22" s="78">
        <f t="shared" si="3"/>
        <v>98888.288400000005</v>
      </c>
      <c r="AI22" s="79">
        <f t="shared" si="3"/>
        <v>65790.895079999988</v>
      </c>
      <c r="AJ22" s="79">
        <f t="shared" si="3"/>
        <v>0</v>
      </c>
      <c r="AK22" s="79">
        <f t="shared" si="4"/>
        <v>0</v>
      </c>
      <c r="AL22" s="79">
        <f t="shared" si="5"/>
        <v>164679.18348000001</v>
      </c>
    </row>
    <row r="23" spans="1:40" s="62" customFormat="1" ht="25.5" customHeight="1" x14ac:dyDescent="0.2">
      <c r="A23" s="63" t="s">
        <v>97</v>
      </c>
      <c r="B23" s="64" t="s">
        <v>30</v>
      </c>
      <c r="C23" s="65">
        <v>35.083309</v>
      </c>
      <c r="D23" s="65">
        <v>-85.261724999999998</v>
      </c>
      <c r="E23" s="66" t="s">
        <v>183</v>
      </c>
      <c r="F23" s="65">
        <v>28072</v>
      </c>
      <c r="G23" s="67">
        <v>41975</v>
      </c>
      <c r="H23" s="68" t="s">
        <v>144</v>
      </c>
      <c r="I23" s="69"/>
      <c r="J23" s="65" t="s">
        <v>94</v>
      </c>
      <c r="K23" s="67">
        <v>41976</v>
      </c>
      <c r="L23" s="68" t="s">
        <v>144</v>
      </c>
      <c r="M23" s="69"/>
      <c r="N23" s="70">
        <v>2015</v>
      </c>
      <c r="O23" s="70">
        <v>2022</v>
      </c>
      <c r="P23" s="85">
        <v>105</v>
      </c>
      <c r="Q23" s="72">
        <v>45000</v>
      </c>
      <c r="R23" s="73"/>
      <c r="S23" s="74">
        <v>18100000</v>
      </c>
      <c r="T23" s="74"/>
      <c r="U23" s="145">
        <f>800320+3490280+633760+3637659</f>
        <v>8562019</v>
      </c>
      <c r="V23" s="69"/>
      <c r="W23" s="75">
        <f t="shared" si="22"/>
        <v>194957.17263000002</v>
      </c>
      <c r="X23" s="75">
        <f t="shared" si="22"/>
        <v>129706.02583099999</v>
      </c>
      <c r="Y23" s="75">
        <f>ROUND(+$U23*Y$1/100,2)</f>
        <v>107050.92</v>
      </c>
      <c r="Z23" s="75">
        <f t="shared" si="1"/>
        <v>431714.11846099998</v>
      </c>
      <c r="AA23" s="69"/>
      <c r="AB23" s="77">
        <f>W23*0.4</f>
        <v>77982.869052000009</v>
      </c>
      <c r="AC23" s="77">
        <f>X23*0.4</f>
        <v>51882.410332400003</v>
      </c>
      <c r="AD23" s="77">
        <f>10006.4+43638.97+7923.9+45481.65</f>
        <v>107050.92000000001</v>
      </c>
      <c r="AE23" s="77">
        <f>SUM(X23*0.15)+SUM(W23*0.15)</f>
        <v>48699.479769149999</v>
      </c>
      <c r="AF23" s="77">
        <f t="shared" si="2"/>
        <v>285615.67915355007</v>
      </c>
      <c r="AG23" s="69"/>
      <c r="AH23" s="78">
        <f t="shared" si="3"/>
        <v>116974.30357800001</v>
      </c>
      <c r="AI23" s="79">
        <f t="shared" si="3"/>
        <v>77823.615498599989</v>
      </c>
      <c r="AJ23" s="79">
        <f t="shared" si="3"/>
        <v>0</v>
      </c>
      <c r="AK23" s="79">
        <f t="shared" si="4"/>
        <v>-48699.479769149999</v>
      </c>
      <c r="AL23" s="79">
        <f t="shared" si="5"/>
        <v>146098.43930744991</v>
      </c>
      <c r="AN23" s="120">
        <f>+X23*0.15</f>
        <v>19455.903874649997</v>
      </c>
    </row>
    <row r="24" spans="1:40" s="62" customFormat="1" ht="41.45" customHeight="1" x14ac:dyDescent="0.2">
      <c r="A24" s="63" t="s">
        <v>168</v>
      </c>
      <c r="B24" s="64" t="s">
        <v>221</v>
      </c>
      <c r="C24" s="65"/>
      <c r="D24" s="65"/>
      <c r="E24" s="66" t="s">
        <v>193</v>
      </c>
      <c r="F24" s="65">
        <v>28002</v>
      </c>
      <c r="G24" s="67">
        <v>41891</v>
      </c>
      <c r="H24" s="116" t="s">
        <v>144</v>
      </c>
      <c r="I24" s="69"/>
      <c r="J24" s="70" t="s">
        <v>148</v>
      </c>
      <c r="K24" s="110">
        <v>41899</v>
      </c>
      <c r="L24" s="122" t="s">
        <v>144</v>
      </c>
      <c r="M24" s="69"/>
      <c r="N24" s="70">
        <v>2016</v>
      </c>
      <c r="O24" s="70">
        <v>2020</v>
      </c>
      <c r="P24" s="85">
        <v>30</v>
      </c>
      <c r="Q24" s="72">
        <v>49000</v>
      </c>
      <c r="R24" s="73"/>
      <c r="S24" s="74">
        <v>5050000</v>
      </c>
      <c r="T24" s="74"/>
      <c r="U24" s="145">
        <f>1399280+97027</f>
        <v>1496307</v>
      </c>
      <c r="V24" s="69"/>
      <c r="W24" s="75">
        <f t="shared" si="22"/>
        <v>34070.910390000005</v>
      </c>
      <c r="X24" s="75">
        <f t="shared" si="22"/>
        <v>22667.554743000001</v>
      </c>
      <c r="Y24" s="75">
        <f t="shared" si="22"/>
        <v>18708.326421000002</v>
      </c>
      <c r="Z24" s="75">
        <f>+W24+X24+Y24</f>
        <v>75446.79155400001</v>
      </c>
      <c r="AA24" s="69"/>
      <c r="AB24" s="76">
        <f>7965.4+552.33</f>
        <v>8517.73</v>
      </c>
      <c r="AC24" s="77">
        <f>5299.42+367.47</f>
        <v>5666.89</v>
      </c>
      <c r="AD24" s="77">
        <f>Y24</f>
        <v>18708.326421000002</v>
      </c>
      <c r="AE24" s="77">
        <f>SUM(W24:X24)*0.15</f>
        <v>8510.7697699500004</v>
      </c>
      <c r="AF24" s="77">
        <f t="shared" si="2"/>
        <v>41403.716190949999</v>
      </c>
      <c r="AG24" s="69"/>
      <c r="AH24" s="78">
        <f>+W24-AB24</f>
        <v>25553.180390000005</v>
      </c>
      <c r="AI24" s="79">
        <f>+X24-AC24</f>
        <v>17000.664743000001</v>
      </c>
      <c r="AJ24" s="79">
        <f>+Y24-AD24</f>
        <v>0</v>
      </c>
      <c r="AK24" s="79">
        <f>-AE24</f>
        <v>-8510.7697699500004</v>
      </c>
      <c r="AL24" s="79">
        <f>+Z24-AF24</f>
        <v>34043.075363050011</v>
      </c>
      <c r="AN24" s="120">
        <f>+X24*0.15</f>
        <v>3400.1332114500001</v>
      </c>
    </row>
    <row r="25" spans="1:40" s="62" customFormat="1" ht="52.5" customHeight="1" x14ac:dyDescent="0.2">
      <c r="A25" s="63" t="s">
        <v>45</v>
      </c>
      <c r="B25" s="64" t="s">
        <v>46</v>
      </c>
      <c r="C25" s="65">
        <v>35.079189999999997</v>
      </c>
      <c r="D25" s="65">
        <v>-85.138220000000004</v>
      </c>
      <c r="E25" s="66" t="s">
        <v>131</v>
      </c>
      <c r="F25" s="65">
        <v>25738</v>
      </c>
      <c r="G25" s="67">
        <v>39777</v>
      </c>
      <c r="H25" s="68" t="s">
        <v>144</v>
      </c>
      <c r="I25" s="69"/>
      <c r="J25" s="65" t="s">
        <v>102</v>
      </c>
      <c r="K25" s="67">
        <v>39765</v>
      </c>
      <c r="L25" s="83" t="s">
        <v>144</v>
      </c>
      <c r="M25" s="69"/>
      <c r="N25" s="70">
        <v>2010</v>
      </c>
      <c r="O25" s="70">
        <v>2038</v>
      </c>
      <c r="P25" s="123">
        <v>2000</v>
      </c>
      <c r="Q25" s="72"/>
      <c r="R25" s="73" t="s">
        <v>236</v>
      </c>
      <c r="S25" s="74">
        <v>1000000000</v>
      </c>
      <c r="T25" s="74"/>
      <c r="U25" s="145">
        <f>4000000+262058008+148457159</f>
        <v>414515167</v>
      </c>
      <c r="V25" s="69"/>
      <c r="W25" s="75">
        <f>+$U25*W$1/100+586483.2</f>
        <v>10024993.55259</v>
      </c>
      <c r="X25" s="75">
        <f t="shared" si="22"/>
        <v>6279490.2648829995</v>
      </c>
      <c r="Y25" s="75">
        <f t="shared" si="22"/>
        <v>5182683.1330009997</v>
      </c>
      <c r="Z25" s="75">
        <f t="shared" si="1"/>
        <v>21487166.950473998</v>
      </c>
      <c r="AA25" s="69"/>
      <c r="AB25" s="76">
        <v>586483.19999999995</v>
      </c>
      <c r="AC25" s="77">
        <v>0</v>
      </c>
      <c r="AD25" s="77">
        <f>Y25-AB25</f>
        <v>4596199.9330009995</v>
      </c>
      <c r="AE25" s="77"/>
      <c r="AF25" s="77">
        <f t="shared" si="2"/>
        <v>5182683.1330009997</v>
      </c>
      <c r="AG25" s="69"/>
      <c r="AH25" s="78">
        <f t="shared" si="3"/>
        <v>9438510.3525900003</v>
      </c>
      <c r="AI25" s="79">
        <f t="shared" si="3"/>
        <v>6279490.2648829995</v>
      </c>
      <c r="AJ25" s="79">
        <f t="shared" si="3"/>
        <v>586483.20000000019</v>
      </c>
      <c r="AK25" s="79">
        <f t="shared" si="4"/>
        <v>0</v>
      </c>
      <c r="AL25" s="79">
        <f t="shared" si="5"/>
        <v>16304483.817472998</v>
      </c>
    </row>
    <row r="26" spans="1:40" s="62" customFormat="1" ht="25.5" customHeight="1" x14ac:dyDescent="0.2">
      <c r="A26" s="112" t="s">
        <v>68</v>
      </c>
      <c r="B26" s="113" t="s">
        <v>141</v>
      </c>
      <c r="C26" s="114">
        <v>35.079189999999997</v>
      </c>
      <c r="D26" s="114">
        <v>-85.138220000000004</v>
      </c>
      <c r="E26" s="115"/>
      <c r="F26" s="65">
        <v>27960</v>
      </c>
      <c r="G26" s="67">
        <v>41849</v>
      </c>
      <c r="H26" s="68" t="s">
        <v>144</v>
      </c>
      <c r="I26" s="69"/>
      <c r="J26" s="65" t="s">
        <v>107</v>
      </c>
      <c r="K26" s="67">
        <v>41843</v>
      </c>
      <c r="L26" s="83" t="s">
        <v>144</v>
      </c>
      <c r="M26" s="69"/>
      <c r="N26" s="70">
        <v>2015</v>
      </c>
      <c r="O26" s="70">
        <v>2038</v>
      </c>
      <c r="P26" s="123">
        <v>2000</v>
      </c>
      <c r="Q26" s="72"/>
      <c r="R26" s="73"/>
      <c r="S26" s="74">
        <v>900000000</v>
      </c>
      <c r="T26" s="74"/>
      <c r="U26" s="215"/>
      <c r="V26" s="69"/>
      <c r="W26" s="75">
        <v>0</v>
      </c>
      <c r="X26" s="75">
        <v>0</v>
      </c>
      <c r="Y26" s="75">
        <v>0</v>
      </c>
      <c r="Z26" s="75">
        <f t="shared" si="1"/>
        <v>0</v>
      </c>
      <c r="AA26" s="69"/>
      <c r="AB26" s="76">
        <v>0</v>
      </c>
      <c r="AC26" s="77">
        <v>0</v>
      </c>
      <c r="AD26" s="77">
        <v>0</v>
      </c>
      <c r="AE26" s="77">
        <v>250000</v>
      </c>
      <c r="AF26" s="77">
        <f t="shared" si="2"/>
        <v>250000</v>
      </c>
      <c r="AG26" s="69"/>
      <c r="AH26" s="78">
        <f t="shared" si="3"/>
        <v>0</v>
      </c>
      <c r="AI26" s="79">
        <f t="shared" si="3"/>
        <v>0</v>
      </c>
      <c r="AJ26" s="79">
        <f t="shared" si="3"/>
        <v>0</v>
      </c>
      <c r="AK26" s="79">
        <f t="shared" si="4"/>
        <v>-250000</v>
      </c>
      <c r="AL26" s="79">
        <f t="shared" si="5"/>
        <v>-250000</v>
      </c>
    </row>
    <row r="27" spans="1:40" s="62" customFormat="1" ht="25.5" customHeight="1" x14ac:dyDescent="0.2">
      <c r="A27" s="63" t="s">
        <v>47</v>
      </c>
      <c r="B27" s="64" t="s">
        <v>48</v>
      </c>
      <c r="C27" s="65">
        <v>35.053291000000002</v>
      </c>
      <c r="D27" s="65">
        <v>-85.196591999999995</v>
      </c>
      <c r="E27" s="66" t="s">
        <v>133</v>
      </c>
      <c r="F27" s="65">
        <v>27639</v>
      </c>
      <c r="G27" s="67">
        <v>41527</v>
      </c>
      <c r="H27" s="68" t="s">
        <v>144</v>
      </c>
      <c r="I27" s="69"/>
      <c r="J27" s="65" t="s">
        <v>103</v>
      </c>
      <c r="K27" s="67">
        <v>41507</v>
      </c>
      <c r="L27" s="83" t="s">
        <v>144</v>
      </c>
      <c r="M27" s="69"/>
      <c r="N27" s="70">
        <v>2014</v>
      </c>
      <c r="O27" s="70">
        <v>2017</v>
      </c>
      <c r="P27" s="107">
        <v>53</v>
      </c>
      <c r="Q27" s="72">
        <v>33125</v>
      </c>
      <c r="R27" s="73"/>
      <c r="S27" s="74">
        <v>15245000</v>
      </c>
      <c r="T27" s="74"/>
      <c r="U27" s="145">
        <v>2677538</v>
      </c>
      <c r="V27" s="69"/>
      <c r="W27" s="75">
        <f t="shared" ref="W27:Y29" si="24">+$U27*W$1/100</f>
        <v>60967.540260000009</v>
      </c>
      <c r="X27" s="75">
        <f t="shared" si="24"/>
        <v>40562.023161999998</v>
      </c>
      <c r="Y27" s="75">
        <f t="shared" si="24"/>
        <v>33477.257613999995</v>
      </c>
      <c r="Z27" s="75">
        <f t="shared" si="1"/>
        <v>135006.82103600001</v>
      </c>
      <c r="AA27" s="69"/>
      <c r="AB27" s="76">
        <v>30483.77</v>
      </c>
      <c r="AC27" s="77">
        <v>20281.009999999998</v>
      </c>
      <c r="AD27" s="77">
        <f>Y27</f>
        <v>33477.257613999995</v>
      </c>
      <c r="AE27" s="77"/>
      <c r="AF27" s="77">
        <f t="shared" si="2"/>
        <v>84242.037614000001</v>
      </c>
      <c r="AG27" s="69"/>
      <c r="AH27" s="78">
        <f t="shared" si="3"/>
        <v>30483.770260000008</v>
      </c>
      <c r="AI27" s="79">
        <f t="shared" si="3"/>
        <v>20281.013161999999</v>
      </c>
      <c r="AJ27" s="79">
        <f t="shared" si="3"/>
        <v>0</v>
      </c>
      <c r="AK27" s="79">
        <f t="shared" si="4"/>
        <v>0</v>
      </c>
      <c r="AL27" s="79">
        <f t="shared" si="5"/>
        <v>50764.783422000008</v>
      </c>
    </row>
    <row r="28" spans="1:40" s="62" customFormat="1" ht="45.75" customHeight="1" x14ac:dyDescent="0.2">
      <c r="A28" s="63" t="s">
        <v>49</v>
      </c>
      <c r="B28" s="64" t="s">
        <v>222</v>
      </c>
      <c r="C28" s="65">
        <v>35.086001099999997</v>
      </c>
      <c r="D28" s="65">
        <v>-85.265804599999996</v>
      </c>
      <c r="E28" s="66" t="s">
        <v>112</v>
      </c>
      <c r="F28" s="65">
        <v>27705</v>
      </c>
      <c r="G28" s="67">
        <v>41590</v>
      </c>
      <c r="H28" s="68" t="s">
        <v>144</v>
      </c>
      <c r="I28" s="69"/>
      <c r="J28" s="65" t="s">
        <v>104</v>
      </c>
      <c r="K28" s="67">
        <v>41584</v>
      </c>
      <c r="L28" s="83" t="s">
        <v>144</v>
      </c>
      <c r="M28" s="69"/>
      <c r="N28" s="70">
        <v>2014</v>
      </c>
      <c r="O28" s="70">
        <v>2017</v>
      </c>
      <c r="P28" s="107">
        <v>70</v>
      </c>
      <c r="Q28" s="72">
        <v>34819</v>
      </c>
      <c r="R28" s="73" t="s">
        <v>227</v>
      </c>
      <c r="S28" s="74">
        <v>8500000</v>
      </c>
      <c r="T28" s="74"/>
      <c r="U28" s="145">
        <v>1400046</v>
      </c>
      <c r="V28" s="69"/>
      <c r="W28" s="75">
        <f t="shared" si="24"/>
        <v>31879.047420000003</v>
      </c>
      <c r="X28" s="75">
        <f t="shared" si="24"/>
        <v>21209.296854</v>
      </c>
      <c r="Y28" s="75">
        <f t="shared" si="24"/>
        <v>17504.775137999997</v>
      </c>
      <c r="Z28" s="75">
        <f t="shared" si="1"/>
        <v>70593.119412</v>
      </c>
      <c r="AA28" s="69"/>
      <c r="AB28" s="76">
        <v>0</v>
      </c>
      <c r="AC28" s="77">
        <v>0</v>
      </c>
      <c r="AD28" s="77">
        <f>Y28</f>
        <v>17504.775137999997</v>
      </c>
      <c r="AE28" s="77"/>
      <c r="AF28" s="77">
        <f t="shared" si="2"/>
        <v>17504.775137999997</v>
      </c>
      <c r="AG28" s="69"/>
      <c r="AH28" s="78">
        <f t="shared" si="3"/>
        <v>31879.047420000003</v>
      </c>
      <c r="AI28" s="79">
        <f t="shared" si="3"/>
        <v>21209.296854</v>
      </c>
      <c r="AJ28" s="79">
        <f t="shared" si="3"/>
        <v>0</v>
      </c>
      <c r="AK28" s="79">
        <f t="shared" si="4"/>
        <v>0</v>
      </c>
      <c r="AL28" s="79">
        <f t="shared" si="5"/>
        <v>53088.344274000003</v>
      </c>
    </row>
    <row r="29" spans="1:40" s="62" customFormat="1" ht="68.25" customHeight="1" x14ac:dyDescent="0.2">
      <c r="A29" s="112" t="s">
        <v>184</v>
      </c>
      <c r="B29" s="113" t="s">
        <v>238</v>
      </c>
      <c r="C29" s="114"/>
      <c r="D29" s="114"/>
      <c r="E29" s="115" t="s">
        <v>239</v>
      </c>
      <c r="F29" s="65">
        <v>28501</v>
      </c>
      <c r="G29" s="67">
        <v>42388</v>
      </c>
      <c r="H29" s="116" t="s">
        <v>144</v>
      </c>
      <c r="I29" s="69"/>
      <c r="J29" s="65" t="s">
        <v>186</v>
      </c>
      <c r="K29" s="67">
        <v>42389</v>
      </c>
      <c r="L29" s="116" t="s">
        <v>144</v>
      </c>
      <c r="M29" s="69"/>
      <c r="N29" s="70">
        <v>2017</v>
      </c>
      <c r="O29" s="70">
        <v>2030</v>
      </c>
      <c r="P29" s="107">
        <v>325</v>
      </c>
      <c r="Q29" s="72">
        <v>50000</v>
      </c>
      <c r="R29" s="73" t="s">
        <v>185</v>
      </c>
      <c r="S29" s="74">
        <v>48000000</v>
      </c>
      <c r="T29" s="74"/>
      <c r="U29" s="145">
        <v>3535322</v>
      </c>
      <c r="V29" s="69"/>
      <c r="W29" s="216">
        <f t="shared" si="24"/>
        <v>80499.281940000001</v>
      </c>
      <c r="X29" s="216">
        <f t="shared" si="24"/>
        <v>53556.592978000001</v>
      </c>
      <c r="Y29" s="216">
        <f t="shared" si="24"/>
        <v>44202.130965999997</v>
      </c>
      <c r="Z29" s="216">
        <f t="shared" ref="Z29" si="25">+W29+X29+Y29</f>
        <v>178258.00588400001</v>
      </c>
      <c r="AA29" s="69"/>
      <c r="AB29" s="222">
        <f>W29/2</f>
        <v>40249.64097</v>
      </c>
      <c r="AC29" s="86">
        <f>X29/2</f>
        <v>26778.296489</v>
      </c>
      <c r="AD29" s="218">
        <f>Y29</f>
        <v>44202.130965999997</v>
      </c>
      <c r="AE29" s="218">
        <f>W29*0.15</f>
        <v>12074.892291</v>
      </c>
      <c r="AF29" s="218">
        <f t="shared" ref="AF29" si="26">+AB29+AC29+AD29+AE29</f>
        <v>123304.960716</v>
      </c>
      <c r="AG29" s="69"/>
      <c r="AH29" s="219">
        <f t="shared" ref="AH29" si="27">+W29-AB29</f>
        <v>40249.64097</v>
      </c>
      <c r="AI29" s="217">
        <f t="shared" ref="AI29" si="28">+X29-AC29</f>
        <v>26778.296489</v>
      </c>
      <c r="AJ29" s="217">
        <f t="shared" ref="AJ29" si="29">+Y29-AD29</f>
        <v>0</v>
      </c>
      <c r="AK29" s="217">
        <f t="shared" ref="AK29" si="30">-AE29</f>
        <v>-12074.892291</v>
      </c>
      <c r="AL29" s="217">
        <f t="shared" ref="AL29" si="31">+Z29-AF29</f>
        <v>54953.045168000011</v>
      </c>
    </row>
    <row r="30" spans="1:40" s="133" customFormat="1" ht="24" customHeight="1" x14ac:dyDescent="0.2">
      <c r="A30" s="124" t="s">
        <v>79</v>
      </c>
      <c r="B30" s="125"/>
      <c r="C30" s="125"/>
      <c r="D30" s="125"/>
      <c r="E30" s="125"/>
      <c r="F30" s="125"/>
      <c r="G30" s="126"/>
      <c r="H30" s="126"/>
      <c r="I30" s="127"/>
      <c r="J30" s="125"/>
      <c r="K30" s="126"/>
      <c r="L30" s="126"/>
      <c r="M30" s="127"/>
      <c r="N30" s="125"/>
      <c r="O30" s="125"/>
      <c r="P30" s="125"/>
      <c r="Q30" s="128"/>
      <c r="R30" s="129"/>
      <c r="S30" s="127"/>
      <c r="T30" s="127"/>
      <c r="U30" s="127"/>
      <c r="V30" s="127"/>
      <c r="W30" s="130"/>
      <c r="X30" s="130"/>
      <c r="Y30" s="130"/>
      <c r="Z30" s="127"/>
      <c r="AA30" s="127"/>
      <c r="AB30" s="130"/>
      <c r="AC30" s="130"/>
      <c r="AD30" s="130"/>
      <c r="AE30" s="131"/>
      <c r="AF30" s="127"/>
      <c r="AG30" s="127"/>
      <c r="AH30" s="127"/>
      <c r="AI30" s="127"/>
      <c r="AJ30" s="127"/>
      <c r="AK30" s="127"/>
      <c r="AL30" s="127"/>
      <c r="AM30" s="132"/>
    </row>
    <row r="31" spans="1:40" s="62" customFormat="1" ht="25.5" customHeight="1" x14ac:dyDescent="0.2">
      <c r="A31" s="63" t="s">
        <v>35</v>
      </c>
      <c r="B31" s="64" t="s">
        <v>36</v>
      </c>
      <c r="C31" s="65">
        <v>35.0899079</v>
      </c>
      <c r="D31" s="65">
        <v>-85.258423100000002</v>
      </c>
      <c r="E31" s="66" t="s">
        <v>178</v>
      </c>
      <c r="F31" s="65">
        <v>26093</v>
      </c>
      <c r="G31" s="67">
        <v>40092</v>
      </c>
      <c r="H31" s="68" t="s">
        <v>144</v>
      </c>
      <c r="I31" s="69"/>
      <c r="J31" s="65" t="s">
        <v>80</v>
      </c>
      <c r="K31" s="67">
        <v>40072</v>
      </c>
      <c r="L31" s="83" t="s">
        <v>144</v>
      </c>
      <c r="M31" s="69"/>
      <c r="N31" s="70">
        <v>2010</v>
      </c>
      <c r="O31" s="70">
        <v>2018</v>
      </c>
      <c r="P31" s="85">
        <v>260</v>
      </c>
      <c r="Q31" s="72"/>
      <c r="R31" s="134" t="s">
        <v>37</v>
      </c>
      <c r="S31" s="74">
        <v>15000000</v>
      </c>
      <c r="T31" s="74"/>
      <c r="U31" s="145">
        <f>2617980+578160</f>
        <v>3196140</v>
      </c>
      <c r="V31" s="69"/>
      <c r="W31" s="75">
        <f>+$U31*W$1/100</f>
        <v>72776.107799999998</v>
      </c>
      <c r="X31" s="75">
        <f>+$U31*X$1/100</f>
        <v>48418.324859999993</v>
      </c>
      <c r="Y31" s="75">
        <f>ROUND(+$U31*Y$1/100,2)</f>
        <v>39961.339999999997</v>
      </c>
      <c r="Z31" s="75">
        <f>+W31+X31+Y31</f>
        <v>161155.77265999999</v>
      </c>
      <c r="AA31" s="69"/>
      <c r="AB31" s="76">
        <v>0</v>
      </c>
      <c r="AC31" s="77">
        <v>0</v>
      </c>
      <c r="AD31" s="77">
        <f>32732.6+7228.73</f>
        <v>39961.33</v>
      </c>
      <c r="AE31" s="77"/>
      <c r="AF31" s="77">
        <f t="shared" ref="AF31:AF36" si="32">+AB31+AC31+AD31+AE31</f>
        <v>39961.33</v>
      </c>
      <c r="AG31" s="69"/>
      <c r="AH31" s="78">
        <f>+W31-AB31</f>
        <v>72776.107799999998</v>
      </c>
      <c r="AI31" s="79">
        <f>+X31-AC31</f>
        <v>48418.324859999993</v>
      </c>
      <c r="AJ31" s="221">
        <f>+Y31-AD31</f>
        <v>9.9999999947613105E-3</v>
      </c>
      <c r="AK31" s="221">
        <f t="shared" ref="AK31:AK36" si="33">-AE31</f>
        <v>0</v>
      </c>
      <c r="AL31" s="79">
        <f t="shared" ref="AL31:AL36" si="34">+Z31-AF31</f>
        <v>121194.44265999999</v>
      </c>
    </row>
    <row r="32" spans="1:40" s="62" customFormat="1" ht="25.5" customHeight="1" x14ac:dyDescent="0.2">
      <c r="A32" s="230" t="s">
        <v>154</v>
      </c>
      <c r="B32" s="239" t="s">
        <v>16</v>
      </c>
      <c r="C32" s="65">
        <v>35.074481900000002</v>
      </c>
      <c r="D32" s="65">
        <v>-85.156702999999993</v>
      </c>
      <c r="E32" s="240" t="s">
        <v>240</v>
      </c>
      <c r="F32" s="241">
        <v>26356</v>
      </c>
      <c r="G32" s="242">
        <v>40365</v>
      </c>
      <c r="H32" s="244" t="s">
        <v>144</v>
      </c>
      <c r="I32" s="139"/>
      <c r="J32" s="140" t="s">
        <v>171</v>
      </c>
      <c r="K32" s="141">
        <v>40129</v>
      </c>
      <c r="L32" s="142" t="s">
        <v>144</v>
      </c>
      <c r="M32" s="139"/>
      <c r="N32" s="231">
        <v>2011</v>
      </c>
      <c r="O32" s="231">
        <v>2024</v>
      </c>
      <c r="P32" s="232">
        <v>230</v>
      </c>
      <c r="Q32" s="233">
        <v>38247</v>
      </c>
      <c r="R32" s="144"/>
      <c r="S32" s="234">
        <v>90300000</v>
      </c>
      <c r="T32" s="74"/>
      <c r="U32" s="235">
        <f>20109040+4147088</f>
        <v>24256128</v>
      </c>
      <c r="V32" s="139"/>
      <c r="W32" s="236">
        <f t="shared" ref="W32:Y42" si="35">+$U32*W$1/100</f>
        <v>552312.03456000006</v>
      </c>
      <c r="X32" s="236">
        <f t="shared" si="35"/>
        <v>367456.08307200001</v>
      </c>
      <c r="Y32" s="236">
        <f t="shared" si="35"/>
        <v>303274.36838399997</v>
      </c>
      <c r="Z32" s="236">
        <f t="shared" ref="Z32:Z42" si="36">+W32+X32+Y32</f>
        <v>1223042.4860159999</v>
      </c>
      <c r="AA32" s="139"/>
      <c r="AB32" s="237">
        <f>242346.35+49979.1</f>
        <v>292325.45</v>
      </c>
      <c r="AC32" s="245">
        <f>161234.29+33251.36</f>
        <v>194485.65000000002</v>
      </c>
      <c r="AD32" s="246">
        <f>Y32</f>
        <v>303274.36838399997</v>
      </c>
      <c r="AE32" s="246"/>
      <c r="AF32" s="246">
        <f t="shared" si="32"/>
        <v>790085.46838400001</v>
      </c>
      <c r="AG32" s="139"/>
      <c r="AH32" s="247">
        <f t="shared" ref="AH32:AJ36" si="37">+W32-AB32</f>
        <v>259986.58456000005</v>
      </c>
      <c r="AI32" s="243">
        <f t="shared" si="37"/>
        <v>172970.43307199999</v>
      </c>
      <c r="AJ32" s="243">
        <f t="shared" si="37"/>
        <v>0</v>
      </c>
      <c r="AK32" s="243">
        <f t="shared" si="33"/>
        <v>0</v>
      </c>
      <c r="AL32" s="243">
        <f t="shared" si="34"/>
        <v>432957.01763199992</v>
      </c>
      <c r="AM32" s="119"/>
    </row>
    <row r="33" spans="1:43" s="62" customFormat="1" ht="25.5" customHeight="1" x14ac:dyDescent="0.2">
      <c r="A33" s="230"/>
      <c r="B33" s="239"/>
      <c r="C33" s="65"/>
      <c r="D33" s="65"/>
      <c r="E33" s="240"/>
      <c r="F33" s="241"/>
      <c r="G33" s="242"/>
      <c r="H33" s="244"/>
      <c r="I33" s="50"/>
      <c r="J33" s="47" t="s">
        <v>170</v>
      </c>
      <c r="K33" s="151">
        <v>40366</v>
      </c>
      <c r="L33" s="152" t="s">
        <v>144</v>
      </c>
      <c r="M33" s="50"/>
      <c r="N33" s="231"/>
      <c r="O33" s="231"/>
      <c r="P33" s="232"/>
      <c r="Q33" s="233"/>
      <c r="R33" s="54"/>
      <c r="S33" s="234"/>
      <c r="T33" s="74"/>
      <c r="U33" s="235"/>
      <c r="V33" s="50"/>
      <c r="W33" s="236"/>
      <c r="X33" s="236"/>
      <c r="Y33" s="236"/>
      <c r="Z33" s="236"/>
      <c r="AA33" s="50"/>
      <c r="AB33" s="237"/>
      <c r="AC33" s="245"/>
      <c r="AD33" s="246"/>
      <c r="AE33" s="246"/>
      <c r="AF33" s="246"/>
      <c r="AG33" s="50"/>
      <c r="AH33" s="247"/>
      <c r="AI33" s="243"/>
      <c r="AJ33" s="243"/>
      <c r="AK33" s="243"/>
      <c r="AL33" s="243"/>
      <c r="AM33" s="119"/>
    </row>
    <row r="34" spans="1:43" s="62" customFormat="1" ht="25.5" customHeight="1" x14ac:dyDescent="0.2">
      <c r="A34" s="230" t="s">
        <v>15</v>
      </c>
      <c r="B34" s="230" t="s">
        <v>175</v>
      </c>
      <c r="C34" s="213"/>
      <c r="D34" s="213"/>
      <c r="E34" s="240" t="s">
        <v>241</v>
      </c>
      <c r="F34" s="153">
        <v>28301</v>
      </c>
      <c r="G34" s="154">
        <v>42185</v>
      </c>
      <c r="H34" s="142" t="s">
        <v>144</v>
      </c>
      <c r="I34" s="139"/>
      <c r="J34" s="140" t="s">
        <v>166</v>
      </c>
      <c r="K34" s="141">
        <v>42186</v>
      </c>
      <c r="L34" s="142" t="s">
        <v>144</v>
      </c>
      <c r="M34" s="139"/>
      <c r="N34" s="231">
        <v>2017</v>
      </c>
      <c r="O34" s="231">
        <v>2026</v>
      </c>
      <c r="P34" s="232">
        <v>374</v>
      </c>
      <c r="Q34" s="233"/>
      <c r="R34" s="144"/>
      <c r="S34" s="234">
        <v>140900000</v>
      </c>
      <c r="T34" s="74"/>
      <c r="U34" s="235">
        <f>4904120+5125920+10101266+5592887</f>
        <v>25724193</v>
      </c>
      <c r="V34" s="139"/>
      <c r="W34" s="236">
        <f t="shared" si="35"/>
        <v>585739.87461000006</v>
      </c>
      <c r="X34" s="236">
        <f t="shared" si="35"/>
        <v>389695.799757</v>
      </c>
      <c r="Y34" s="236">
        <f t="shared" si="35"/>
        <v>321629.58507899998</v>
      </c>
      <c r="Z34" s="236">
        <f t="shared" ref="Z34" si="38">+W34+X34+Y34</f>
        <v>1297065.2594460002</v>
      </c>
      <c r="AA34" s="155"/>
      <c r="AB34" s="250">
        <v>0</v>
      </c>
      <c r="AC34" s="251">
        <v>0</v>
      </c>
      <c r="AD34" s="252">
        <f>Y34</f>
        <v>321629.58507899998</v>
      </c>
      <c r="AE34" s="252">
        <f>SUM(X34:Y35)*0.1253+SUM(W34*0.15)</f>
        <v>176990.05191145081</v>
      </c>
      <c r="AF34" s="246">
        <f t="shared" si="32"/>
        <v>498619.63699045079</v>
      </c>
      <c r="AG34" s="155"/>
      <c r="AH34" s="247">
        <f t="shared" ref="AH34" si="39">+W34-AB34</f>
        <v>585739.87461000006</v>
      </c>
      <c r="AI34" s="243">
        <f t="shared" ref="AI34" si="40">+X34-AC34</f>
        <v>389695.799757</v>
      </c>
      <c r="AJ34" s="243">
        <f t="shared" ref="AJ34" si="41">+Y34-AD34</f>
        <v>0</v>
      </c>
      <c r="AK34" s="243">
        <f t="shared" ref="AK34" si="42">-AE34</f>
        <v>-176990.05191145081</v>
      </c>
      <c r="AL34" s="243">
        <f t="shared" ref="AL34" si="43">+Z34-AF34</f>
        <v>798445.62245554943</v>
      </c>
      <c r="AM34" s="119"/>
    </row>
    <row r="35" spans="1:43" s="62" customFormat="1" ht="25.5" customHeight="1" x14ac:dyDescent="0.2">
      <c r="A35" s="230"/>
      <c r="B35" s="230"/>
      <c r="C35" s="213"/>
      <c r="D35" s="213"/>
      <c r="E35" s="240"/>
      <c r="F35" s="46">
        <v>28424</v>
      </c>
      <c r="G35" s="48">
        <v>42290</v>
      </c>
      <c r="H35" s="152" t="s">
        <v>144</v>
      </c>
      <c r="I35" s="50"/>
      <c r="J35" s="47" t="s">
        <v>174</v>
      </c>
      <c r="K35" s="151">
        <v>42283</v>
      </c>
      <c r="L35" s="152" t="s">
        <v>144</v>
      </c>
      <c r="M35" s="50"/>
      <c r="N35" s="231"/>
      <c r="O35" s="231"/>
      <c r="P35" s="232"/>
      <c r="Q35" s="233"/>
      <c r="R35" s="54"/>
      <c r="S35" s="234"/>
      <c r="T35" s="74"/>
      <c r="U35" s="235"/>
      <c r="V35" s="50"/>
      <c r="W35" s="236"/>
      <c r="X35" s="236"/>
      <c r="Y35" s="236"/>
      <c r="Z35" s="236"/>
      <c r="AA35" s="156"/>
      <c r="AB35" s="250"/>
      <c r="AC35" s="251"/>
      <c r="AD35" s="252"/>
      <c r="AE35" s="252"/>
      <c r="AF35" s="246"/>
      <c r="AG35" s="156"/>
      <c r="AH35" s="247"/>
      <c r="AI35" s="243"/>
      <c r="AJ35" s="243"/>
      <c r="AK35" s="243"/>
      <c r="AL35" s="243"/>
      <c r="AM35" s="119"/>
    </row>
    <row r="36" spans="1:43" s="62" customFormat="1" ht="28.5" customHeight="1" x14ac:dyDescent="0.2">
      <c r="A36" s="63" t="s">
        <v>18</v>
      </c>
      <c r="B36" s="64" t="s">
        <v>19</v>
      </c>
      <c r="C36" s="65">
        <v>35.114749799999998</v>
      </c>
      <c r="D36" s="65">
        <v>-85.2444208</v>
      </c>
      <c r="E36" s="66" t="s">
        <v>121</v>
      </c>
      <c r="F36" s="65">
        <v>21398</v>
      </c>
      <c r="G36" s="67">
        <v>35584</v>
      </c>
      <c r="H36" s="68" t="s">
        <v>144</v>
      </c>
      <c r="I36" s="69"/>
      <c r="J36" s="65" t="s">
        <v>98</v>
      </c>
      <c r="K36" s="67">
        <v>35585</v>
      </c>
      <c r="L36" s="83" t="s">
        <v>144</v>
      </c>
      <c r="M36" s="69"/>
      <c r="N36" s="70">
        <v>1998</v>
      </c>
      <c r="O36" s="70">
        <v>2017</v>
      </c>
      <c r="P36" s="85"/>
      <c r="Q36" s="72"/>
      <c r="R36" s="121" t="s">
        <v>11</v>
      </c>
      <c r="S36" s="74"/>
      <c r="T36" s="74"/>
      <c r="U36" s="145">
        <f>1000000+102565</f>
        <v>1102565</v>
      </c>
      <c r="V36" s="69"/>
      <c r="W36" s="75">
        <f t="shared" si="35"/>
        <v>25105.405050000005</v>
      </c>
      <c r="X36" s="75">
        <f t="shared" si="35"/>
        <v>16702.757184999999</v>
      </c>
      <c r="Y36" s="75">
        <f t="shared" si="35"/>
        <v>13785.370195</v>
      </c>
      <c r="Z36" s="75">
        <f t="shared" si="36"/>
        <v>55593.532430000007</v>
      </c>
      <c r="AA36" s="69"/>
      <c r="AB36" s="76">
        <f>16306.28+2335.41</f>
        <v>18641.690000000002</v>
      </c>
      <c r="AC36" s="118">
        <f>(19802.43+2836.13)*X1/(X1+Y1)</f>
        <v>12402.413765369593</v>
      </c>
      <c r="AD36" s="77">
        <f>(19802.43+2836.13)-AC36</f>
        <v>10236.146234630409</v>
      </c>
      <c r="AE36" s="77"/>
      <c r="AF36" s="77">
        <f t="shared" si="32"/>
        <v>41280.250000000007</v>
      </c>
      <c r="AG36" s="69"/>
      <c r="AH36" s="78">
        <f t="shared" si="37"/>
        <v>6463.7150500000025</v>
      </c>
      <c r="AI36" s="79">
        <f t="shared" si="37"/>
        <v>4300.3434196304061</v>
      </c>
      <c r="AJ36" s="79">
        <f t="shared" si="37"/>
        <v>3549.2239603695907</v>
      </c>
      <c r="AK36" s="79">
        <f t="shared" si="33"/>
        <v>0</v>
      </c>
      <c r="AL36" s="79">
        <f t="shared" si="34"/>
        <v>14313.282429999999</v>
      </c>
      <c r="AN36" s="157"/>
      <c r="AO36" s="158"/>
      <c r="AP36" s="158"/>
      <c r="AQ36" s="158"/>
    </row>
    <row r="37" spans="1:43" s="157" customFormat="1" ht="25.5" customHeight="1" x14ac:dyDescent="0.2">
      <c r="A37" s="63" t="s">
        <v>22</v>
      </c>
      <c r="B37" s="64" t="s">
        <v>23</v>
      </c>
      <c r="C37" s="70"/>
      <c r="D37" s="70"/>
      <c r="E37" s="66" t="s">
        <v>122</v>
      </c>
      <c r="F37" s="65">
        <v>26357</v>
      </c>
      <c r="G37" s="67">
        <v>40365</v>
      </c>
      <c r="H37" s="68" t="s">
        <v>144</v>
      </c>
      <c r="I37" s="69"/>
      <c r="J37" s="70" t="s">
        <v>95</v>
      </c>
      <c r="K37" s="110">
        <v>40366</v>
      </c>
      <c r="L37" s="83" t="s">
        <v>144</v>
      </c>
      <c r="M37" s="69"/>
      <c r="N37" s="70">
        <v>2011</v>
      </c>
      <c r="O37" s="70">
        <v>2017</v>
      </c>
      <c r="P37" s="159">
        <v>80</v>
      </c>
      <c r="Q37" s="72">
        <v>42862</v>
      </c>
      <c r="R37" s="54" t="s">
        <v>228</v>
      </c>
      <c r="S37" s="69">
        <v>10800000</v>
      </c>
      <c r="T37" s="69"/>
      <c r="U37" s="145">
        <v>1833600</v>
      </c>
      <c r="V37" s="69"/>
      <c r="W37" s="75">
        <f t="shared" si="35"/>
        <v>41751.072</v>
      </c>
      <c r="X37" s="160">
        <f t="shared" si="35"/>
        <v>27777.206399999995</v>
      </c>
      <c r="Y37" s="75">
        <f t="shared" si="35"/>
        <v>22925.500800000002</v>
      </c>
      <c r="Z37" s="75">
        <f t="shared" si="36"/>
        <v>92453.77919999999</v>
      </c>
      <c r="AA37" s="69"/>
      <c r="AB37" s="76">
        <v>0</v>
      </c>
      <c r="AC37" s="77">
        <v>0</v>
      </c>
      <c r="AD37" s="77">
        <f>Y37</f>
        <v>22925.500800000002</v>
      </c>
      <c r="AE37" s="77"/>
      <c r="AF37" s="77">
        <f>+AB37+AC37+AD37+AE37</f>
        <v>22925.500800000002</v>
      </c>
      <c r="AG37" s="69"/>
      <c r="AH37" s="78">
        <f>+W37-AB37</f>
        <v>41751.072</v>
      </c>
      <c r="AI37" s="79">
        <f>+X37-AC37</f>
        <v>27777.206399999995</v>
      </c>
      <c r="AJ37" s="79">
        <f>+Y37-AD37</f>
        <v>0</v>
      </c>
      <c r="AK37" s="79">
        <f>-AE37</f>
        <v>0</v>
      </c>
      <c r="AL37" s="79">
        <f>+Z37-AF37</f>
        <v>69528.278399999981</v>
      </c>
    </row>
    <row r="38" spans="1:43" s="62" customFormat="1" ht="25.5" customHeight="1" x14ac:dyDescent="0.2">
      <c r="A38" s="63" t="s">
        <v>155</v>
      </c>
      <c r="B38" s="64" t="s">
        <v>140</v>
      </c>
      <c r="C38" s="65">
        <v>35.070200999999997</v>
      </c>
      <c r="D38" s="65">
        <v>-85.272989899999999</v>
      </c>
      <c r="E38" s="66" t="s">
        <v>130</v>
      </c>
      <c r="F38" s="65">
        <v>26357</v>
      </c>
      <c r="G38" s="67">
        <v>40365</v>
      </c>
      <c r="H38" s="68" t="s">
        <v>144</v>
      </c>
      <c r="I38" s="69"/>
      <c r="J38" s="65" t="s">
        <v>95</v>
      </c>
      <c r="K38" s="67">
        <v>40366</v>
      </c>
      <c r="L38" s="83" t="s">
        <v>144</v>
      </c>
      <c r="M38" s="69"/>
      <c r="N38" s="70">
        <v>2011</v>
      </c>
      <c r="O38" s="70">
        <v>2017</v>
      </c>
      <c r="P38" s="85">
        <v>80</v>
      </c>
      <c r="Q38" s="72">
        <v>42862</v>
      </c>
      <c r="R38" s="54" t="s">
        <v>229</v>
      </c>
      <c r="S38" s="74">
        <v>10800000</v>
      </c>
      <c r="T38" s="74"/>
      <c r="U38" s="145">
        <v>1937833</v>
      </c>
      <c r="V38" s="69"/>
      <c r="W38" s="75">
        <f t="shared" si="35"/>
        <v>44124.457410000003</v>
      </c>
      <c r="X38" s="56">
        <f t="shared" si="35"/>
        <v>29356.232117</v>
      </c>
      <c r="Y38" s="75">
        <f t="shared" si="35"/>
        <v>24228.725998999998</v>
      </c>
      <c r="Z38" s="75">
        <f t="shared" si="36"/>
        <v>97709.415526000012</v>
      </c>
      <c r="AA38" s="69"/>
      <c r="AB38" s="76">
        <v>0</v>
      </c>
      <c r="AC38" s="77">
        <v>0</v>
      </c>
      <c r="AD38" s="77">
        <f>Y38</f>
        <v>24228.725998999998</v>
      </c>
      <c r="AE38" s="77"/>
      <c r="AF38" s="77">
        <f>+AB38+AC38+AD38+AE38</f>
        <v>24228.725998999998</v>
      </c>
      <c r="AG38" s="69"/>
      <c r="AH38" s="78">
        <f t="shared" ref="AH38:AJ42" si="44">+W38-AB38</f>
        <v>44124.457410000003</v>
      </c>
      <c r="AI38" s="79">
        <f t="shared" si="44"/>
        <v>29356.232117</v>
      </c>
      <c r="AJ38" s="79">
        <f t="shared" si="44"/>
        <v>0</v>
      </c>
      <c r="AK38" s="79">
        <f>-AE38</f>
        <v>0</v>
      </c>
      <c r="AL38" s="79">
        <f>+Z38-AF38</f>
        <v>73480.68952700001</v>
      </c>
    </row>
    <row r="39" spans="1:43" s="62" customFormat="1" ht="25.5" customHeight="1" x14ac:dyDescent="0.2">
      <c r="A39" s="238" t="s">
        <v>31</v>
      </c>
      <c r="B39" s="239" t="s">
        <v>32</v>
      </c>
      <c r="C39" s="65">
        <v>35.072987400000002</v>
      </c>
      <c r="D39" s="65">
        <v>-85.275501800000001</v>
      </c>
      <c r="E39" s="240" t="s">
        <v>132</v>
      </c>
      <c r="F39" s="241">
        <v>25672</v>
      </c>
      <c r="G39" s="242">
        <v>39721</v>
      </c>
      <c r="H39" s="253" t="s">
        <v>144</v>
      </c>
      <c r="I39" s="139"/>
      <c r="J39" s="141" t="s">
        <v>173</v>
      </c>
      <c r="K39" s="141">
        <v>39526</v>
      </c>
      <c r="L39" s="163" t="s">
        <v>144</v>
      </c>
      <c r="M39" s="139"/>
      <c r="N39" s="231">
        <v>2009</v>
      </c>
      <c r="O39" s="231">
        <v>2019</v>
      </c>
      <c r="P39" s="232">
        <v>52</v>
      </c>
      <c r="Q39" s="233">
        <v>85000</v>
      </c>
      <c r="R39" s="144"/>
      <c r="S39" s="234">
        <f>16700000+4500000</f>
        <v>21200000</v>
      </c>
      <c r="T39" s="74"/>
      <c r="U39" s="235">
        <f>2134840+1499000+1460316</f>
        <v>5094156</v>
      </c>
      <c r="V39" s="139"/>
      <c r="W39" s="236">
        <f t="shared" si="35"/>
        <v>115993.93212000001</v>
      </c>
      <c r="X39" s="236">
        <f t="shared" si="35"/>
        <v>77171.369244000001</v>
      </c>
      <c r="Y39" s="236">
        <f>ROUND(+$U39*Y$1/100,0)</f>
        <v>63692</v>
      </c>
      <c r="Z39" s="236">
        <f t="shared" si="36"/>
        <v>256857.30136400001</v>
      </c>
      <c r="AA39" s="139"/>
      <c r="AB39" s="237">
        <f>24305.16+34132.23+16625.7</f>
        <v>75063.09</v>
      </c>
      <c r="AC39" s="245">
        <f>16170.35+11061.17+41450.35*X1/(X1+Y1)</f>
        <v>49939.872095689279</v>
      </c>
      <c r="AD39" s="249">
        <f>ROUND(26691.9+18258.33+41450.35*Y1/(X1+Y1),0)</f>
        <v>63692</v>
      </c>
      <c r="AE39" s="246"/>
      <c r="AF39" s="246">
        <f>+AB39+AC39+AD39+AE39</f>
        <v>188694.96209568926</v>
      </c>
      <c r="AG39" s="139"/>
      <c r="AH39" s="247">
        <f t="shared" si="44"/>
        <v>40930.842120000016</v>
      </c>
      <c r="AI39" s="243">
        <f t="shared" si="44"/>
        <v>27231.497148310722</v>
      </c>
      <c r="AJ39" s="248">
        <f t="shared" si="44"/>
        <v>0</v>
      </c>
      <c r="AK39" s="243">
        <f>-AE39</f>
        <v>0</v>
      </c>
      <c r="AL39" s="243">
        <f>+Z39-AF39</f>
        <v>68162.339268310752</v>
      </c>
      <c r="AM39" s="164"/>
    </row>
    <row r="40" spans="1:43" s="62" customFormat="1" ht="25.5" customHeight="1" x14ac:dyDescent="0.2">
      <c r="A40" s="238"/>
      <c r="B40" s="239"/>
      <c r="C40" s="65"/>
      <c r="D40" s="65"/>
      <c r="E40" s="240"/>
      <c r="F40" s="241"/>
      <c r="G40" s="242"/>
      <c r="H40" s="253"/>
      <c r="I40" s="50"/>
      <c r="J40" s="151" t="s">
        <v>172</v>
      </c>
      <c r="K40" s="151">
        <v>39708</v>
      </c>
      <c r="L40" s="152" t="s">
        <v>144</v>
      </c>
      <c r="M40" s="50"/>
      <c r="N40" s="231"/>
      <c r="O40" s="231"/>
      <c r="P40" s="232"/>
      <c r="Q40" s="233"/>
      <c r="R40" s="54"/>
      <c r="S40" s="234"/>
      <c r="T40" s="74"/>
      <c r="U40" s="235"/>
      <c r="V40" s="50"/>
      <c r="W40" s="236"/>
      <c r="X40" s="236"/>
      <c r="Y40" s="236"/>
      <c r="Z40" s="236"/>
      <c r="AA40" s="50"/>
      <c r="AB40" s="237"/>
      <c r="AC40" s="245"/>
      <c r="AD40" s="249"/>
      <c r="AE40" s="246"/>
      <c r="AF40" s="246"/>
      <c r="AG40" s="50"/>
      <c r="AH40" s="247"/>
      <c r="AI40" s="243"/>
      <c r="AJ40" s="248"/>
      <c r="AK40" s="243"/>
      <c r="AL40" s="243"/>
      <c r="AM40" s="164"/>
    </row>
    <row r="41" spans="1:43" s="62" customFormat="1" ht="25.5" customHeight="1" x14ac:dyDescent="0.2">
      <c r="A41" s="63" t="s">
        <v>33</v>
      </c>
      <c r="B41" s="64" t="s">
        <v>34</v>
      </c>
      <c r="C41" s="65">
        <v>35.057448999999998</v>
      </c>
      <c r="D41" s="65">
        <v>-85.196417699999998</v>
      </c>
      <c r="E41" s="66" t="s">
        <v>134</v>
      </c>
      <c r="F41" s="65">
        <v>24923</v>
      </c>
      <c r="G41" s="67">
        <v>39014</v>
      </c>
      <c r="H41" s="68" t="s">
        <v>144</v>
      </c>
      <c r="I41" s="69"/>
      <c r="J41" s="65" t="s">
        <v>106</v>
      </c>
      <c r="K41" s="67">
        <v>39008</v>
      </c>
      <c r="L41" s="83" t="s">
        <v>144</v>
      </c>
      <c r="M41" s="69"/>
      <c r="N41" s="70">
        <v>2007</v>
      </c>
      <c r="O41" s="70">
        <v>2018</v>
      </c>
      <c r="P41" s="107">
        <v>150</v>
      </c>
      <c r="Q41" s="72">
        <v>49000</v>
      </c>
      <c r="R41" s="73"/>
      <c r="S41" s="74">
        <f>18000000+5000000</f>
        <v>23000000</v>
      </c>
      <c r="T41" s="74"/>
      <c r="U41" s="145">
        <f>1096120+1476557</f>
        <v>2572677</v>
      </c>
      <c r="V41" s="69"/>
      <c r="W41" s="75">
        <f t="shared" si="35"/>
        <v>58579.85529</v>
      </c>
      <c r="X41" s="75">
        <f t="shared" si="35"/>
        <v>38973.483872999997</v>
      </c>
      <c r="Y41" s="75">
        <f t="shared" si="35"/>
        <v>32166.180531000002</v>
      </c>
      <c r="Z41" s="75">
        <f t="shared" si="36"/>
        <v>129719.519694</v>
      </c>
      <c r="AA41" s="69"/>
      <c r="AB41" s="87">
        <f>W41/2</f>
        <v>29289.927645</v>
      </c>
      <c r="AC41" s="86">
        <f>X41/2</f>
        <v>19486.741936499999</v>
      </c>
      <c r="AD41" s="86">
        <f>Y41/2</f>
        <v>16083.090265500001</v>
      </c>
      <c r="AE41" s="77"/>
      <c r="AF41" s="77">
        <f>+AB41+AC41+AD41+AE41</f>
        <v>64859.759847000001</v>
      </c>
      <c r="AG41" s="69"/>
      <c r="AH41" s="78">
        <f t="shared" si="44"/>
        <v>29289.927645</v>
      </c>
      <c r="AI41" s="79">
        <f t="shared" si="44"/>
        <v>19486.741936499999</v>
      </c>
      <c r="AJ41" s="79">
        <f t="shared" si="44"/>
        <v>16083.090265500001</v>
      </c>
      <c r="AK41" s="79">
        <f>-AE41</f>
        <v>0</v>
      </c>
      <c r="AL41" s="79">
        <f>+Z41-AF41</f>
        <v>64859.759847000001</v>
      </c>
      <c r="AM41" s="164"/>
    </row>
    <row r="42" spans="1:43" s="62" customFormat="1" ht="26.25" customHeight="1" x14ac:dyDescent="0.2">
      <c r="A42" s="63" t="s">
        <v>33</v>
      </c>
      <c r="B42" s="64" t="s">
        <v>34</v>
      </c>
      <c r="C42" s="65"/>
      <c r="D42" s="65"/>
      <c r="E42" s="66" t="s">
        <v>135</v>
      </c>
      <c r="F42" s="65">
        <v>26441</v>
      </c>
      <c r="G42" s="67">
        <v>40442</v>
      </c>
      <c r="H42" s="68" t="s">
        <v>144</v>
      </c>
      <c r="I42" s="69"/>
      <c r="J42" s="65" t="s">
        <v>105</v>
      </c>
      <c r="K42" s="67">
        <v>40457</v>
      </c>
      <c r="L42" s="83" t="s">
        <v>144</v>
      </c>
      <c r="M42" s="69"/>
      <c r="N42" s="70">
        <v>2011</v>
      </c>
      <c r="O42" s="70">
        <v>2023</v>
      </c>
      <c r="P42" s="107">
        <v>54</v>
      </c>
      <c r="Q42" s="72">
        <v>69500</v>
      </c>
      <c r="R42" s="73"/>
      <c r="S42" s="74">
        <f>18800000+4300000</f>
        <v>23100000</v>
      </c>
      <c r="T42" s="74"/>
      <c r="U42" s="145">
        <f>757800+777613</f>
        <v>1535413</v>
      </c>
      <c r="V42" s="69"/>
      <c r="W42" s="75">
        <f t="shared" si="35"/>
        <v>34961.354010000003</v>
      </c>
      <c r="X42" s="75">
        <f t="shared" si="35"/>
        <v>23259.971536999998</v>
      </c>
      <c r="Y42" s="75">
        <f>ROUND(+$U42*Y$1/100,2)</f>
        <v>19197.27</v>
      </c>
      <c r="Z42" s="75">
        <f t="shared" si="36"/>
        <v>77418.595547000004</v>
      </c>
      <c r="AA42" s="69"/>
      <c r="AB42" s="76">
        <v>0</v>
      </c>
      <c r="AC42" s="77">
        <v>0</v>
      </c>
      <c r="AD42" s="77">
        <f>9474.77+9722.5</f>
        <v>19197.27</v>
      </c>
      <c r="AE42" s="77"/>
      <c r="AF42" s="77">
        <f>+AB42+AC42+AD42+AE42</f>
        <v>19197.27</v>
      </c>
      <c r="AG42" s="69"/>
      <c r="AH42" s="78">
        <f t="shared" si="44"/>
        <v>34961.354010000003</v>
      </c>
      <c r="AI42" s="79">
        <f t="shared" si="44"/>
        <v>23259.971536999998</v>
      </c>
      <c r="AJ42" s="79">
        <f t="shared" si="44"/>
        <v>0</v>
      </c>
      <c r="AK42" s="79">
        <f>-AE42</f>
        <v>0</v>
      </c>
      <c r="AL42" s="79">
        <f>+Z42-AF42</f>
        <v>58221.325547</v>
      </c>
    </row>
    <row r="43" spans="1:43" s="62" customFormat="1" ht="26.25" customHeight="1" x14ac:dyDescent="0.2">
      <c r="A43" s="63"/>
      <c r="B43" s="64"/>
      <c r="C43" s="65"/>
      <c r="D43" s="65"/>
      <c r="E43" s="66"/>
      <c r="F43" s="65"/>
      <c r="G43" s="67"/>
      <c r="H43" s="68"/>
      <c r="I43" s="69"/>
      <c r="J43" s="65"/>
      <c r="K43" s="67"/>
      <c r="L43" s="68"/>
      <c r="M43" s="69"/>
      <c r="N43" s="70"/>
      <c r="O43" s="70"/>
      <c r="P43" s="107"/>
      <c r="Q43" s="72"/>
      <c r="R43" s="73"/>
      <c r="S43" s="74"/>
      <c r="T43" s="74"/>
      <c r="U43" s="215"/>
      <c r="V43" s="69"/>
      <c r="W43" s="75"/>
      <c r="X43" s="75"/>
      <c r="Y43" s="75"/>
      <c r="Z43" s="75"/>
      <c r="AA43" s="69"/>
      <c r="AB43" s="76"/>
      <c r="AC43" s="77"/>
      <c r="AD43" s="77"/>
      <c r="AE43" s="77"/>
      <c r="AF43" s="77"/>
      <c r="AG43" s="69"/>
      <c r="AH43" s="78"/>
      <c r="AI43" s="79"/>
      <c r="AJ43" s="79"/>
      <c r="AK43" s="79"/>
      <c r="AL43" s="79"/>
    </row>
    <row r="44" spans="1:43" s="62" customFormat="1" ht="26.25" customHeight="1" x14ac:dyDescent="0.2">
      <c r="A44" s="63" t="s">
        <v>147</v>
      </c>
      <c r="B44" s="165" t="s">
        <v>145</v>
      </c>
      <c r="C44" s="64"/>
      <c r="D44" s="64"/>
      <c r="E44" s="66" t="s">
        <v>124</v>
      </c>
      <c r="F44" s="65">
        <v>293</v>
      </c>
      <c r="G44" s="67" t="s">
        <v>139</v>
      </c>
      <c r="H44" s="68" t="s">
        <v>144</v>
      </c>
      <c r="I44" s="69"/>
      <c r="J44" s="65" t="s">
        <v>89</v>
      </c>
      <c r="K44" s="67">
        <v>38903</v>
      </c>
      <c r="L44" s="68" t="s">
        <v>144</v>
      </c>
      <c r="M44" s="69"/>
      <c r="N44" s="70">
        <v>2009</v>
      </c>
      <c r="O44" s="70">
        <v>2019</v>
      </c>
      <c r="P44" s="64">
        <v>175</v>
      </c>
      <c r="Q44" s="166">
        <v>36800</v>
      </c>
      <c r="R44" s="167"/>
      <c r="S44" s="168">
        <f>17000000+58000000</f>
        <v>75000000</v>
      </c>
      <c r="T44" s="168"/>
      <c r="U44" s="145">
        <f>3484020+5196760</f>
        <v>8680780</v>
      </c>
      <c r="V44" s="69"/>
      <c r="W44" s="75">
        <f>+$U44*1.2594/100</f>
        <v>109325.74332000001</v>
      </c>
      <c r="X44" s="75">
        <f>+$U44*X$1/100</f>
        <v>131505.13621999999</v>
      </c>
      <c r="Y44" s="75">
        <f>+$U44*Y$1/100</f>
        <v>108535.79233999999</v>
      </c>
      <c r="Z44" s="75">
        <f>+W44+X44+Y44</f>
        <v>349366.67187999998</v>
      </c>
      <c r="AA44" s="69"/>
      <c r="AB44" s="169">
        <f>W44/2</f>
        <v>54662.871660000004</v>
      </c>
      <c r="AC44" s="169">
        <f>X44/2</f>
        <v>65752.568109999993</v>
      </c>
      <c r="AD44" s="169">
        <f>Y44/2</f>
        <v>54267.896169999993</v>
      </c>
      <c r="AE44" s="77"/>
      <c r="AF44" s="77">
        <f>+AB44+AC44+AD44+AE44</f>
        <v>174683.33593999999</v>
      </c>
      <c r="AG44" s="69"/>
      <c r="AH44" s="78">
        <f>+W44-AB44</f>
        <v>54662.871660000004</v>
      </c>
      <c r="AI44" s="79">
        <f>+X44-AC44</f>
        <v>65752.568109999993</v>
      </c>
      <c r="AJ44" s="79">
        <f>+Y44-AD44</f>
        <v>54267.896169999993</v>
      </c>
      <c r="AK44" s="79">
        <f>-AE44</f>
        <v>0</v>
      </c>
      <c r="AL44" s="79">
        <f>+Z44-AF44</f>
        <v>174683.33593999999</v>
      </c>
    </row>
    <row r="45" spans="1:43" s="62" customFormat="1" ht="26.25" customHeight="1" x14ac:dyDescent="0.2">
      <c r="A45" s="112" t="s">
        <v>147</v>
      </c>
      <c r="B45" s="113" t="s">
        <v>176</v>
      </c>
      <c r="C45" s="113"/>
      <c r="D45" s="113"/>
      <c r="E45" s="115"/>
      <c r="F45" s="65">
        <v>472</v>
      </c>
      <c r="G45" s="67">
        <v>42310</v>
      </c>
      <c r="H45" s="68"/>
      <c r="I45" s="69"/>
      <c r="J45" s="65" t="s">
        <v>177</v>
      </c>
      <c r="K45" s="67">
        <v>42305</v>
      </c>
      <c r="L45" s="116" t="s">
        <v>144</v>
      </c>
      <c r="M45" s="69"/>
      <c r="N45" s="70">
        <v>2017</v>
      </c>
      <c r="O45" s="70">
        <v>2026</v>
      </c>
      <c r="P45" s="159">
        <v>50</v>
      </c>
      <c r="Q45" s="166">
        <v>43843</v>
      </c>
      <c r="R45" s="167"/>
      <c r="S45" s="168">
        <v>102500000</v>
      </c>
      <c r="T45" s="168"/>
      <c r="U45" s="215"/>
      <c r="V45" s="69"/>
      <c r="W45" s="75"/>
      <c r="X45" s="75"/>
      <c r="Y45" s="75"/>
      <c r="Z45" s="75"/>
      <c r="AA45" s="69"/>
      <c r="AB45" s="76"/>
      <c r="AC45" s="109"/>
      <c r="AD45" s="109"/>
      <c r="AE45" s="77"/>
      <c r="AF45" s="77"/>
      <c r="AG45" s="69"/>
      <c r="AH45" s="78"/>
      <c r="AI45" s="79"/>
      <c r="AJ45" s="79"/>
      <c r="AK45" s="79"/>
      <c r="AL45" s="79"/>
    </row>
    <row r="46" spans="1:43" s="133" customFormat="1" ht="24" customHeight="1" x14ac:dyDescent="0.2">
      <c r="A46" s="124" t="s">
        <v>78</v>
      </c>
      <c r="B46" s="125"/>
      <c r="C46" s="125"/>
      <c r="D46" s="125"/>
      <c r="E46" s="125"/>
      <c r="F46" s="65"/>
      <c r="G46" s="67"/>
      <c r="H46" s="67"/>
      <c r="I46" s="127"/>
      <c r="J46" s="125"/>
      <c r="K46" s="126"/>
      <c r="L46" s="67"/>
      <c r="M46" s="127"/>
      <c r="N46" s="125"/>
      <c r="O46" s="125"/>
      <c r="P46" s="125"/>
      <c r="Q46" s="128"/>
      <c r="R46" s="129"/>
      <c r="S46" s="127"/>
      <c r="T46" s="127"/>
      <c r="U46" s="127"/>
      <c r="V46" s="127"/>
      <c r="W46" s="130"/>
      <c r="X46" s="130"/>
      <c r="Y46" s="130"/>
      <c r="Z46" s="127"/>
      <c r="AA46" s="127"/>
      <c r="AB46" s="130"/>
      <c r="AC46" s="130"/>
      <c r="AD46" s="127"/>
      <c r="AE46" s="131"/>
      <c r="AF46" s="127"/>
      <c r="AG46" s="127"/>
      <c r="AH46" s="127"/>
      <c r="AI46" s="127"/>
      <c r="AJ46" s="127"/>
      <c r="AK46" s="127"/>
      <c r="AL46" s="127"/>
    </row>
    <row r="47" spans="1:43" s="174" customFormat="1" ht="37.15" customHeight="1" x14ac:dyDescent="0.2">
      <c r="A47" s="209" t="s">
        <v>169</v>
      </c>
      <c r="B47" s="170"/>
      <c r="C47" s="170"/>
      <c r="D47" s="170"/>
      <c r="E47" s="170" t="s">
        <v>230</v>
      </c>
      <c r="F47" s="65">
        <v>28256</v>
      </c>
      <c r="G47" s="67">
        <v>42164</v>
      </c>
      <c r="H47" s="116" t="s">
        <v>144</v>
      </c>
      <c r="I47" s="108"/>
      <c r="J47" s="170" t="s">
        <v>153</v>
      </c>
      <c r="K47" s="171">
        <v>42186</v>
      </c>
      <c r="L47" s="116" t="s">
        <v>144</v>
      </c>
      <c r="M47" s="108"/>
      <c r="N47" s="170">
        <v>2017</v>
      </c>
      <c r="O47" s="170">
        <v>2030</v>
      </c>
      <c r="P47" s="170"/>
      <c r="Q47" s="72"/>
      <c r="R47" s="172" t="s">
        <v>161</v>
      </c>
      <c r="S47" s="108"/>
      <c r="T47" s="108"/>
      <c r="U47" s="108">
        <v>557560</v>
      </c>
      <c r="V47" s="108"/>
      <c r="W47" s="201">
        <f t="shared" ref="W47:Y60" si="45">+$U47*W$1/100</f>
        <v>12695.641200000002</v>
      </c>
      <c r="X47" s="201">
        <f t="shared" si="45"/>
        <v>8446.4764400000004</v>
      </c>
      <c r="Y47" s="201">
        <f t="shared" si="45"/>
        <v>6971.1726799999997</v>
      </c>
      <c r="Z47" s="201">
        <f t="shared" ref="Z47" si="46">+W47+X47+Y47</f>
        <v>28113.290320000004</v>
      </c>
      <c r="AA47" s="108"/>
      <c r="AB47" s="173">
        <v>0</v>
      </c>
      <c r="AC47" s="173">
        <v>0</v>
      </c>
      <c r="AD47" s="173">
        <v>6971.17</v>
      </c>
      <c r="AE47" s="173"/>
      <c r="AF47" s="203">
        <f t="shared" ref="AF47:AF60" si="47">+AB47+AC47+AD47+AE47</f>
        <v>6971.17</v>
      </c>
      <c r="AG47" s="108"/>
      <c r="AH47" s="204">
        <f t="shared" ref="AH47" si="48">+W47-AB47</f>
        <v>12695.641200000002</v>
      </c>
      <c r="AI47" s="202">
        <f t="shared" ref="AI47" si="49">+X47-AC47</f>
        <v>8446.4764400000004</v>
      </c>
      <c r="AJ47" s="202">
        <f t="shared" ref="AJ47" si="50">+Y47-AD47</f>
        <v>2.6799999996001134E-3</v>
      </c>
      <c r="AK47" s="202">
        <f t="shared" ref="AK47" si="51">-AE47</f>
        <v>0</v>
      </c>
      <c r="AL47" s="202">
        <f t="shared" ref="AL47" si="52">+Z47-AF47</f>
        <v>21142.120320000002</v>
      </c>
    </row>
    <row r="48" spans="1:43" s="62" customFormat="1" ht="25.5" customHeight="1" x14ac:dyDescent="0.2">
      <c r="A48" s="63" t="s">
        <v>207</v>
      </c>
      <c r="B48" s="64" t="s">
        <v>50</v>
      </c>
      <c r="C48" s="65">
        <v>35.035924999999999</v>
      </c>
      <c r="D48" s="65">
        <v>-85.311306999999999</v>
      </c>
      <c r="E48" s="66" t="s">
        <v>115</v>
      </c>
      <c r="F48" s="65">
        <v>23253</v>
      </c>
      <c r="G48" s="67">
        <v>37264</v>
      </c>
      <c r="H48" s="68" t="s">
        <v>144</v>
      </c>
      <c r="I48" s="69"/>
      <c r="J48" s="65" t="s">
        <v>83</v>
      </c>
      <c r="K48" s="67">
        <v>37349</v>
      </c>
      <c r="L48" s="83" t="s">
        <v>144</v>
      </c>
      <c r="M48" s="69"/>
      <c r="N48" s="70">
        <v>2003</v>
      </c>
      <c r="O48" s="70">
        <v>2018</v>
      </c>
      <c r="P48" s="175"/>
      <c r="Q48" s="72"/>
      <c r="R48" s="73"/>
      <c r="S48" s="69"/>
      <c r="T48" s="74"/>
      <c r="U48" s="145">
        <v>867840</v>
      </c>
      <c r="V48" s="69"/>
      <c r="W48" s="75">
        <f t="shared" si="45"/>
        <v>19760.716800000002</v>
      </c>
      <c r="X48" s="75">
        <f t="shared" si="45"/>
        <v>13146.908159999999</v>
      </c>
      <c r="Y48" s="75">
        <f t="shared" si="45"/>
        <v>10850.603519999999</v>
      </c>
      <c r="Z48" s="75">
        <f t="shared" ref="Z48:Z60" si="53">+W48+X48+Y48</f>
        <v>43758.228479999998</v>
      </c>
      <c r="AA48" s="69"/>
      <c r="AB48" s="76">
        <v>12631.76</v>
      </c>
      <c r="AC48" s="77">
        <f>15341.78*X1/(X1+Y1)</f>
        <v>8404.9119492260961</v>
      </c>
      <c r="AD48" s="77">
        <f>15341.78-AC48</f>
        <v>6936.8680507739045</v>
      </c>
      <c r="AE48" s="77"/>
      <c r="AF48" s="77">
        <f t="shared" si="47"/>
        <v>27973.54</v>
      </c>
      <c r="AG48" s="69"/>
      <c r="AH48" s="78">
        <f t="shared" ref="AH48:AJ60" si="54">+W48-AB48</f>
        <v>7128.9568000000017</v>
      </c>
      <c r="AI48" s="79">
        <f t="shared" si="54"/>
        <v>4741.9962107739029</v>
      </c>
      <c r="AJ48" s="79">
        <f t="shared" si="54"/>
        <v>3913.7354692260942</v>
      </c>
      <c r="AK48" s="79">
        <f t="shared" ref="AK48:AK60" si="55">-AE48</f>
        <v>0</v>
      </c>
      <c r="AL48" s="79">
        <f t="shared" ref="AL48:AL60" si="56">+Z48-AF48</f>
        <v>15784.688479999997</v>
      </c>
    </row>
    <row r="49" spans="1:45" s="62" customFormat="1" ht="42.6" customHeight="1" x14ac:dyDescent="0.2">
      <c r="A49" s="63" t="s">
        <v>158</v>
      </c>
      <c r="B49" s="64" t="s">
        <v>162</v>
      </c>
      <c r="C49" s="65"/>
      <c r="D49" s="65"/>
      <c r="E49" s="66" t="s">
        <v>191</v>
      </c>
      <c r="F49" s="65">
        <v>28165</v>
      </c>
      <c r="G49" s="67">
        <v>42073</v>
      </c>
      <c r="H49" s="116" t="s">
        <v>144</v>
      </c>
      <c r="I49" s="69"/>
      <c r="J49" s="65" t="s">
        <v>150</v>
      </c>
      <c r="K49" s="67">
        <v>42081</v>
      </c>
      <c r="L49" s="122" t="s">
        <v>144</v>
      </c>
      <c r="M49" s="69"/>
      <c r="N49" s="70">
        <v>2015</v>
      </c>
      <c r="O49" s="70">
        <v>2031</v>
      </c>
      <c r="P49" s="175"/>
      <c r="Q49" s="72"/>
      <c r="R49" s="172" t="s">
        <v>163</v>
      </c>
      <c r="S49" s="69"/>
      <c r="T49" s="74"/>
      <c r="U49" s="145">
        <f>1295800+17804</f>
        <v>1313604</v>
      </c>
      <c r="V49" s="69"/>
      <c r="W49" s="75">
        <f t="shared" si="45"/>
        <v>29910.763080000001</v>
      </c>
      <c r="X49" s="75">
        <f t="shared" si="45"/>
        <v>19899.786995999999</v>
      </c>
      <c r="Y49" s="75">
        <f t="shared" si="45"/>
        <v>16423.990812</v>
      </c>
      <c r="Z49" s="75">
        <f>+W49+X49+Y49</f>
        <v>66234.540888000003</v>
      </c>
      <c r="AA49" s="69"/>
      <c r="AB49" s="76">
        <v>0</v>
      </c>
      <c r="AC49" s="76">
        <v>0</v>
      </c>
      <c r="AD49" s="76">
        <f>Y49</f>
        <v>16423.990812</v>
      </c>
      <c r="AE49" s="77"/>
      <c r="AF49" s="77">
        <f t="shared" si="47"/>
        <v>16423.990812</v>
      </c>
      <c r="AG49" s="69"/>
      <c r="AH49" s="78">
        <f>+W49-AB49</f>
        <v>29910.763080000001</v>
      </c>
      <c r="AI49" s="79">
        <f>+X49-AC49</f>
        <v>19899.786995999999</v>
      </c>
      <c r="AJ49" s="79">
        <f>+Y49-AD49</f>
        <v>0</v>
      </c>
      <c r="AK49" s="79">
        <f>-AE49</f>
        <v>0</v>
      </c>
      <c r="AL49" s="79">
        <f t="shared" si="56"/>
        <v>49810.550076</v>
      </c>
    </row>
    <row r="50" spans="1:45" s="62" customFormat="1" ht="42.6" customHeight="1" x14ac:dyDescent="0.2">
      <c r="A50" s="112" t="s">
        <v>187</v>
      </c>
      <c r="B50" s="113" t="s">
        <v>188</v>
      </c>
      <c r="C50" s="114"/>
      <c r="D50" s="114"/>
      <c r="E50" s="115"/>
      <c r="F50" s="65">
        <v>28815</v>
      </c>
      <c r="G50" s="67">
        <v>42661</v>
      </c>
      <c r="H50" s="116" t="s">
        <v>144</v>
      </c>
      <c r="I50" s="69"/>
      <c r="J50" s="65" t="s">
        <v>189</v>
      </c>
      <c r="K50" s="67">
        <v>42676</v>
      </c>
      <c r="L50" s="116" t="s">
        <v>144</v>
      </c>
      <c r="M50" s="69"/>
      <c r="N50" s="70">
        <v>2017</v>
      </c>
      <c r="O50" s="70">
        <v>2033</v>
      </c>
      <c r="P50" s="175"/>
      <c r="Q50" s="72"/>
      <c r="R50" s="172" t="s">
        <v>190</v>
      </c>
      <c r="S50" s="69"/>
      <c r="T50" s="74"/>
      <c r="U50" s="145"/>
      <c r="V50" s="69"/>
      <c r="W50" s="75">
        <f t="shared" si="45"/>
        <v>0</v>
      </c>
      <c r="X50" s="75">
        <f t="shared" si="45"/>
        <v>0</v>
      </c>
      <c r="Y50" s="75">
        <f t="shared" si="45"/>
        <v>0</v>
      </c>
      <c r="Z50" s="75">
        <f>+W50+X50+Y50</f>
        <v>0</v>
      </c>
      <c r="AA50" s="69"/>
      <c r="AB50" s="76"/>
      <c r="AC50" s="76"/>
      <c r="AD50" s="76"/>
      <c r="AE50" s="77"/>
      <c r="AF50" s="77"/>
      <c r="AG50" s="69"/>
      <c r="AH50" s="78"/>
      <c r="AI50" s="79"/>
      <c r="AJ50" s="79"/>
      <c r="AK50" s="79"/>
      <c r="AL50" s="79"/>
    </row>
    <row r="51" spans="1:45" s="62" customFormat="1" ht="25.5" customHeight="1" x14ac:dyDescent="0.2">
      <c r="A51" s="63" t="s">
        <v>51</v>
      </c>
      <c r="B51" s="64" t="s">
        <v>52</v>
      </c>
      <c r="C51" s="65">
        <v>35.061832000000003</v>
      </c>
      <c r="D51" s="65">
        <v>-85.305651999999995</v>
      </c>
      <c r="E51" s="66" t="s">
        <v>179</v>
      </c>
      <c r="F51" s="65">
        <v>23253</v>
      </c>
      <c r="G51" s="67">
        <v>37264</v>
      </c>
      <c r="H51" s="68" t="s">
        <v>144</v>
      </c>
      <c r="I51" s="69"/>
      <c r="J51" s="65" t="s">
        <v>83</v>
      </c>
      <c r="K51" s="67">
        <v>37349</v>
      </c>
      <c r="L51" s="83" t="s">
        <v>144</v>
      </c>
      <c r="M51" s="69"/>
      <c r="N51" s="70">
        <v>2005</v>
      </c>
      <c r="O51" s="70">
        <v>2018</v>
      </c>
      <c r="P51" s="175"/>
      <c r="Q51" s="72"/>
      <c r="R51" s="73"/>
      <c r="S51" s="69"/>
      <c r="T51" s="74"/>
      <c r="U51" s="145">
        <f>1283040+321</f>
        <v>1283361</v>
      </c>
      <c r="V51" s="69"/>
      <c r="W51" s="75">
        <f t="shared" si="45"/>
        <v>29222.129969999998</v>
      </c>
      <c r="X51" s="75">
        <f t="shared" si="45"/>
        <v>19441.635789</v>
      </c>
      <c r="Y51" s="75">
        <f t="shared" si="45"/>
        <v>16045.862582999998</v>
      </c>
      <c r="Z51" s="75">
        <f t="shared" si="53"/>
        <v>64709.628341999996</v>
      </c>
      <c r="AA51" s="69"/>
      <c r="AB51" s="76">
        <f>17776.06+4.39</f>
        <v>17780.45</v>
      </c>
      <c r="AC51" s="77">
        <f>(21587.88+5.33)*X1/(X1+Y1)</f>
        <v>11829.724370389124</v>
      </c>
      <c r="AD51" s="109">
        <f>(21587.88+5.33)-AC51</f>
        <v>9763.4856296108792</v>
      </c>
      <c r="AE51" s="77"/>
      <c r="AF51" s="77">
        <f t="shared" si="47"/>
        <v>39373.660000000003</v>
      </c>
      <c r="AG51" s="69"/>
      <c r="AH51" s="78">
        <f t="shared" si="54"/>
        <v>11441.679969999997</v>
      </c>
      <c r="AI51" s="79">
        <f t="shared" si="54"/>
        <v>7611.9114186108764</v>
      </c>
      <c r="AJ51" s="79">
        <f t="shared" si="54"/>
        <v>6282.3769533891191</v>
      </c>
      <c r="AK51" s="79">
        <f t="shared" si="55"/>
        <v>0</v>
      </c>
      <c r="AL51" s="79">
        <f t="shared" si="56"/>
        <v>25335.968341999993</v>
      </c>
    </row>
    <row r="52" spans="1:45" s="62" customFormat="1" ht="48.6" customHeight="1" x14ac:dyDescent="0.2">
      <c r="A52" s="63" t="s">
        <v>159</v>
      </c>
      <c r="B52" s="64" t="s">
        <v>197</v>
      </c>
      <c r="C52" s="65"/>
      <c r="D52" s="65"/>
      <c r="E52" s="66" t="s">
        <v>196</v>
      </c>
      <c r="F52" s="65">
        <v>28233</v>
      </c>
      <c r="G52" s="67">
        <v>42129</v>
      </c>
      <c r="H52" s="116" t="s">
        <v>144</v>
      </c>
      <c r="I52" s="69"/>
      <c r="J52" s="65" t="s">
        <v>151</v>
      </c>
      <c r="K52" s="67">
        <v>42130</v>
      </c>
      <c r="L52" s="116" t="s">
        <v>144</v>
      </c>
      <c r="M52" s="69"/>
      <c r="N52" s="70">
        <v>2016</v>
      </c>
      <c r="O52" s="70">
        <v>2034</v>
      </c>
      <c r="P52" s="175"/>
      <c r="Q52" s="72"/>
      <c r="R52" s="172" t="s">
        <v>164</v>
      </c>
      <c r="S52" s="69"/>
      <c r="T52" s="74"/>
      <c r="U52" s="145">
        <f>902960+138840</f>
        <v>1041800</v>
      </c>
      <c r="V52" s="69"/>
      <c r="W52" s="75">
        <f t="shared" si="45"/>
        <v>23721.786</v>
      </c>
      <c r="X52" s="75">
        <f t="shared" si="45"/>
        <v>15782.228199999998</v>
      </c>
      <c r="Y52" s="75">
        <f t="shared" si="45"/>
        <v>13025.625400000001</v>
      </c>
      <c r="Z52" s="75">
        <f>+W52+X52+Y52</f>
        <v>52529.639599999995</v>
      </c>
      <c r="AA52" s="69"/>
      <c r="AB52" s="76">
        <v>0</v>
      </c>
      <c r="AC52" s="76">
        <v>0</v>
      </c>
      <c r="AD52" s="76">
        <f>1041800*Y1/100</f>
        <v>13025.625400000001</v>
      </c>
      <c r="AE52" s="77"/>
      <c r="AF52" s="77">
        <f>+AB52+AC52+AD52+AE52</f>
        <v>13025.625400000001</v>
      </c>
      <c r="AG52" s="69"/>
      <c r="AH52" s="78">
        <f>+W52-AB52</f>
        <v>23721.786</v>
      </c>
      <c r="AI52" s="79">
        <f>+X52-AC52</f>
        <v>15782.228199999998</v>
      </c>
      <c r="AJ52" s="79">
        <f>+Y52-AD52</f>
        <v>0</v>
      </c>
      <c r="AK52" s="79">
        <f>-AE52</f>
        <v>0</v>
      </c>
      <c r="AL52" s="79">
        <f>+Z52-AF52</f>
        <v>39504.014199999991</v>
      </c>
    </row>
    <row r="53" spans="1:45" s="62" customFormat="1" ht="25.5" customHeight="1" x14ac:dyDescent="0.2">
      <c r="A53" s="63" t="s">
        <v>53</v>
      </c>
      <c r="B53" s="64" t="s">
        <v>54</v>
      </c>
      <c r="C53" s="111"/>
      <c r="D53" s="111"/>
      <c r="E53" s="66" t="s">
        <v>123</v>
      </c>
      <c r="F53" s="65">
        <v>23253</v>
      </c>
      <c r="G53" s="67">
        <v>38611</v>
      </c>
      <c r="H53" s="68" t="s">
        <v>144</v>
      </c>
      <c r="I53" s="69"/>
      <c r="J53" s="65" t="s">
        <v>83</v>
      </c>
      <c r="K53" s="67">
        <v>37349</v>
      </c>
      <c r="L53" s="83" t="s">
        <v>144</v>
      </c>
      <c r="M53" s="69"/>
      <c r="N53" s="70">
        <v>2006</v>
      </c>
      <c r="O53" s="70">
        <v>2021</v>
      </c>
      <c r="P53" s="175"/>
      <c r="Q53" s="72"/>
      <c r="R53" s="73"/>
      <c r="S53" s="69"/>
      <c r="T53" s="74"/>
      <c r="U53" s="145">
        <v>890640</v>
      </c>
      <c r="V53" s="69"/>
      <c r="W53" s="75">
        <f t="shared" si="45"/>
        <v>20279.872800000001</v>
      </c>
      <c r="X53" s="75">
        <f t="shared" si="45"/>
        <v>13492.305359999998</v>
      </c>
      <c r="Y53" s="75">
        <f t="shared" si="45"/>
        <v>11135.671920000001</v>
      </c>
      <c r="Z53" s="75">
        <f t="shared" si="53"/>
        <v>44907.850079999997</v>
      </c>
      <c r="AA53" s="69"/>
      <c r="AB53" s="76">
        <v>2030.2440000000001</v>
      </c>
      <c r="AC53" s="109">
        <v>1344</v>
      </c>
      <c r="AD53" s="109">
        <v>1324</v>
      </c>
      <c r="AE53" s="77"/>
      <c r="AF53" s="77">
        <f t="shared" si="47"/>
        <v>4698.2440000000006</v>
      </c>
      <c r="AG53" s="69"/>
      <c r="AH53" s="78">
        <f t="shared" si="54"/>
        <v>18249.628800000002</v>
      </c>
      <c r="AI53" s="79">
        <f t="shared" si="54"/>
        <v>12148.305359999998</v>
      </c>
      <c r="AJ53" s="79">
        <f t="shared" si="54"/>
        <v>9811.6719200000007</v>
      </c>
      <c r="AK53" s="79">
        <f t="shared" si="55"/>
        <v>0</v>
      </c>
      <c r="AL53" s="79">
        <f t="shared" si="56"/>
        <v>40209.606079999998</v>
      </c>
    </row>
    <row r="54" spans="1:45" s="62" customFormat="1" ht="25.5" customHeight="1" x14ac:dyDescent="0.2">
      <c r="A54" s="63" t="s">
        <v>55</v>
      </c>
      <c r="B54" s="64" t="s">
        <v>56</v>
      </c>
      <c r="C54" s="65">
        <v>35.040156000000003</v>
      </c>
      <c r="D54" s="65">
        <v>-85.307471000000007</v>
      </c>
      <c r="E54" s="66" t="s">
        <v>129</v>
      </c>
      <c r="F54" s="65">
        <v>23253</v>
      </c>
      <c r="G54" s="67">
        <v>37264</v>
      </c>
      <c r="H54" s="68" t="s">
        <v>144</v>
      </c>
      <c r="I54" s="69"/>
      <c r="J54" s="65" t="s">
        <v>83</v>
      </c>
      <c r="K54" s="67">
        <v>37349</v>
      </c>
      <c r="L54" s="122" t="s">
        <v>144</v>
      </c>
      <c r="M54" s="69"/>
      <c r="N54" s="70">
        <v>2003</v>
      </c>
      <c r="O54" s="70">
        <v>2020</v>
      </c>
      <c r="P54" s="175"/>
      <c r="Q54" s="72"/>
      <c r="R54" s="73"/>
      <c r="S54" s="69"/>
      <c r="T54" s="74"/>
      <c r="U54" s="145">
        <v>604800</v>
      </c>
      <c r="V54" s="69"/>
      <c r="W54" s="75">
        <f t="shared" si="45"/>
        <v>13771.296</v>
      </c>
      <c r="X54" s="75">
        <f t="shared" si="45"/>
        <v>9162.1151999999984</v>
      </c>
      <c r="Y54" s="75">
        <f t="shared" si="45"/>
        <v>7561.8143999999993</v>
      </c>
      <c r="Z54" s="75">
        <f t="shared" si="53"/>
        <v>30495.225599999998</v>
      </c>
      <c r="AA54" s="69"/>
      <c r="AB54" s="76">
        <v>4164.03</v>
      </c>
      <c r="AC54" s="109">
        <v>1080</v>
      </c>
      <c r="AD54" s="109">
        <v>1064</v>
      </c>
      <c r="AE54" s="77"/>
      <c r="AF54" s="77">
        <f t="shared" si="47"/>
        <v>6308.03</v>
      </c>
      <c r="AG54" s="69"/>
      <c r="AH54" s="78">
        <f t="shared" si="54"/>
        <v>9607.2659999999996</v>
      </c>
      <c r="AI54" s="79">
        <f t="shared" si="54"/>
        <v>8082.1151999999984</v>
      </c>
      <c r="AJ54" s="79">
        <f t="shared" si="54"/>
        <v>6497.8143999999993</v>
      </c>
      <c r="AK54" s="79">
        <f t="shared" si="55"/>
        <v>0</v>
      </c>
      <c r="AL54" s="79">
        <f t="shared" si="56"/>
        <v>24187.195599999999</v>
      </c>
    </row>
    <row r="55" spans="1:45" s="62" customFormat="1" ht="25.5" customHeight="1" x14ac:dyDescent="0.2">
      <c r="A55" s="112" t="s">
        <v>199</v>
      </c>
      <c r="B55" s="113"/>
      <c r="C55" s="114"/>
      <c r="D55" s="114"/>
      <c r="E55" s="115"/>
      <c r="F55" s="65">
        <v>28852</v>
      </c>
      <c r="G55" s="67">
        <v>42710</v>
      </c>
      <c r="H55" s="116" t="s">
        <v>144</v>
      </c>
      <c r="I55" s="69"/>
      <c r="J55" s="65" t="s">
        <v>198</v>
      </c>
      <c r="K55" s="67">
        <v>42725</v>
      </c>
      <c r="L55" s="176" t="s">
        <v>144</v>
      </c>
      <c r="M55" s="69"/>
      <c r="N55" s="70">
        <v>2017</v>
      </c>
      <c r="O55" s="70">
        <v>2037</v>
      </c>
      <c r="P55" s="175"/>
      <c r="Q55" s="72"/>
      <c r="R55" s="177" t="s">
        <v>203</v>
      </c>
      <c r="S55" s="69"/>
      <c r="T55" s="74"/>
      <c r="U55" s="145"/>
      <c r="V55" s="69"/>
      <c r="W55" s="75"/>
      <c r="X55" s="75"/>
      <c r="Y55" s="75"/>
      <c r="Z55" s="75"/>
      <c r="AA55" s="69"/>
      <c r="AB55" s="76"/>
      <c r="AC55" s="109"/>
      <c r="AD55" s="109"/>
      <c r="AE55" s="77"/>
      <c r="AF55" s="77"/>
      <c r="AG55" s="69"/>
      <c r="AH55" s="78"/>
      <c r="AI55" s="79"/>
      <c r="AJ55" s="79"/>
      <c r="AK55" s="79"/>
      <c r="AL55" s="79"/>
    </row>
    <row r="56" spans="1:45" s="62" customFormat="1" ht="65.25" customHeight="1" x14ac:dyDescent="0.2">
      <c r="A56" s="210" t="s">
        <v>217</v>
      </c>
      <c r="B56" s="211" t="s">
        <v>218</v>
      </c>
      <c r="C56" s="192"/>
      <c r="D56" s="192"/>
      <c r="E56" s="212" t="s">
        <v>235</v>
      </c>
      <c r="F56" s="188">
        <v>28336</v>
      </c>
      <c r="G56" s="190">
        <v>42206</v>
      </c>
      <c r="H56" s="93" t="s">
        <v>144</v>
      </c>
      <c r="I56" s="191"/>
      <c r="J56" s="188" t="s">
        <v>219</v>
      </c>
      <c r="K56" s="190">
        <v>42221</v>
      </c>
      <c r="L56" s="93" t="s">
        <v>144</v>
      </c>
      <c r="M56" s="191"/>
      <c r="N56" s="192">
        <v>2017</v>
      </c>
      <c r="O56" s="192">
        <v>2031</v>
      </c>
      <c r="P56" s="193"/>
      <c r="Q56" s="194"/>
      <c r="R56" s="195" t="s">
        <v>220</v>
      </c>
      <c r="S56" s="191"/>
      <c r="T56" s="196"/>
      <c r="U56" s="191">
        <v>307960</v>
      </c>
      <c r="V56" s="191"/>
      <c r="W56" s="205">
        <f t="shared" si="45"/>
        <v>7012.2492000000002</v>
      </c>
      <c r="X56" s="205">
        <f t="shared" si="45"/>
        <v>4665.28604</v>
      </c>
      <c r="Y56" s="205">
        <f t="shared" si="45"/>
        <v>3850.4238799999998</v>
      </c>
      <c r="Z56" s="205">
        <f t="shared" ref="Z56" si="57">+W56+X56+Y56</f>
        <v>15527.959120000001</v>
      </c>
      <c r="AA56" s="191"/>
      <c r="AB56" s="197">
        <v>0</v>
      </c>
      <c r="AC56" s="198">
        <v>0</v>
      </c>
      <c r="AD56" s="198">
        <f>Y56</f>
        <v>3850.4238799999998</v>
      </c>
      <c r="AE56" s="199"/>
      <c r="AF56" s="206">
        <f t="shared" si="47"/>
        <v>3850.4238799999998</v>
      </c>
      <c r="AG56" s="191"/>
      <c r="AH56" s="208">
        <f t="shared" ref="AH56" si="58">+W56-AB56</f>
        <v>7012.2492000000002</v>
      </c>
      <c r="AI56" s="207">
        <f t="shared" ref="AI56" si="59">+X56-AC56</f>
        <v>4665.28604</v>
      </c>
      <c r="AJ56" s="207">
        <f t="shared" ref="AJ56" si="60">+Y56-AD56</f>
        <v>0</v>
      </c>
      <c r="AK56" s="207">
        <f t="shared" ref="AK56" si="61">-AE56</f>
        <v>0</v>
      </c>
      <c r="AL56" s="207">
        <f t="shared" ref="AL56" si="62">+Z56-AF56</f>
        <v>11677.535240000001</v>
      </c>
      <c r="AM56" s="189"/>
    </row>
    <row r="57" spans="1:45" s="62" customFormat="1" ht="42.6" customHeight="1" x14ac:dyDescent="0.2">
      <c r="A57" s="161" t="s">
        <v>156</v>
      </c>
      <c r="B57" s="135" t="s">
        <v>157</v>
      </c>
      <c r="C57" s="136"/>
      <c r="D57" s="137"/>
      <c r="E57" s="138" t="s">
        <v>194</v>
      </c>
      <c r="F57" s="137">
        <v>28139</v>
      </c>
      <c r="G57" s="138">
        <v>42045</v>
      </c>
      <c r="H57" s="162" t="s">
        <v>144</v>
      </c>
      <c r="I57" s="135"/>
      <c r="J57" s="137" t="s">
        <v>149</v>
      </c>
      <c r="K57" s="138">
        <v>42053</v>
      </c>
      <c r="L57" s="122" t="s">
        <v>144</v>
      </c>
      <c r="M57" s="145"/>
      <c r="N57" s="143">
        <v>2016</v>
      </c>
      <c r="O57" s="143">
        <v>2030</v>
      </c>
      <c r="P57" s="73"/>
      <c r="Q57" s="145"/>
      <c r="R57" s="172" t="s">
        <v>165</v>
      </c>
      <c r="S57" s="145"/>
      <c r="T57" s="145"/>
      <c r="U57" s="145">
        <f>1915760+60860</f>
        <v>1976620</v>
      </c>
      <c r="V57" s="145"/>
      <c r="W57" s="146">
        <f t="shared" si="45"/>
        <v>45007.6374</v>
      </c>
      <c r="X57" s="146">
        <f t="shared" si="45"/>
        <v>29943.816379999997</v>
      </c>
      <c r="Y57" s="146">
        <f t="shared" si="45"/>
        <v>24713.67986</v>
      </c>
      <c r="Z57" s="146">
        <f>+W57+X57+Y57</f>
        <v>99665.13364</v>
      </c>
      <c r="AA57" s="145"/>
      <c r="AB57" s="147">
        <v>0</v>
      </c>
      <c r="AC57" s="109">
        <v>0</v>
      </c>
      <c r="AD57" s="109">
        <f>Y57</f>
        <v>24713.67986</v>
      </c>
      <c r="AE57" s="148"/>
      <c r="AF57" s="148">
        <f t="shared" si="47"/>
        <v>24713.67986</v>
      </c>
      <c r="AG57" s="145"/>
      <c r="AH57" s="149">
        <f>+W57-AB57</f>
        <v>45007.6374</v>
      </c>
      <c r="AI57" s="150">
        <f>+X57-AC57</f>
        <v>29943.816379999997</v>
      </c>
      <c r="AJ57" s="150">
        <f>+Y57-AD57</f>
        <v>0</v>
      </c>
      <c r="AK57" s="150">
        <f>-AE57</f>
        <v>0</v>
      </c>
      <c r="AL57" s="150">
        <f>+Z57-AF57</f>
        <v>74951.453779999996</v>
      </c>
      <c r="AM57" s="89"/>
      <c r="AN57" s="89"/>
      <c r="AO57" s="89"/>
      <c r="AP57" s="89"/>
      <c r="AQ57" s="89"/>
      <c r="AR57" s="89"/>
      <c r="AS57" s="89"/>
    </row>
    <row r="58" spans="1:45" s="62" customFormat="1" ht="25.5" customHeight="1" x14ac:dyDescent="0.2">
      <c r="A58" s="63" t="s">
        <v>59</v>
      </c>
      <c r="B58" s="64" t="s">
        <v>60</v>
      </c>
      <c r="C58" s="65">
        <v>35.043092999999999</v>
      </c>
      <c r="D58" s="65">
        <v>-85.2932019</v>
      </c>
      <c r="E58" s="66" t="s">
        <v>182</v>
      </c>
      <c r="F58" s="65">
        <v>27337</v>
      </c>
      <c r="G58" s="67">
        <v>41247</v>
      </c>
      <c r="H58" s="68" t="s">
        <v>144</v>
      </c>
      <c r="I58" s="69"/>
      <c r="J58" s="65" t="s">
        <v>101</v>
      </c>
      <c r="K58" s="67">
        <v>41262</v>
      </c>
      <c r="L58" s="83" t="s">
        <v>144</v>
      </c>
      <c r="M58" s="69"/>
      <c r="N58" s="70">
        <v>2013</v>
      </c>
      <c r="O58" s="70">
        <v>2024</v>
      </c>
      <c r="P58" s="175"/>
      <c r="Q58" s="72"/>
      <c r="R58" s="73"/>
      <c r="S58" s="69"/>
      <c r="T58" s="74"/>
      <c r="U58" s="145">
        <f>563600+8502</f>
        <v>572102</v>
      </c>
      <c r="V58" s="69"/>
      <c r="W58" s="75">
        <f t="shared" si="45"/>
        <v>13026.762540000002</v>
      </c>
      <c r="X58" s="75">
        <f t="shared" si="45"/>
        <v>8666.773197999999</v>
      </c>
      <c r="Y58" s="75">
        <f t="shared" si="45"/>
        <v>7152.9913059999999</v>
      </c>
      <c r="Z58" s="75">
        <f t="shared" si="53"/>
        <v>28846.527043999999</v>
      </c>
      <c r="AA58" s="69"/>
      <c r="AB58" s="76">
        <v>5790.05</v>
      </c>
      <c r="AC58" s="77">
        <f>6627.33*X1/(X1+Y1)</f>
        <v>3630.7472215391285</v>
      </c>
      <c r="AD58" s="77">
        <f>3911.44+106.3+6627.33*Y1/(X1+Y1)</f>
        <v>7014.3227784608707</v>
      </c>
      <c r="AE58" s="77"/>
      <c r="AF58" s="77">
        <f t="shared" si="47"/>
        <v>16435.12</v>
      </c>
      <c r="AG58" s="69"/>
      <c r="AH58" s="78">
        <f t="shared" si="54"/>
        <v>7236.7125400000014</v>
      </c>
      <c r="AI58" s="79">
        <f t="shared" si="54"/>
        <v>5036.0259764608709</v>
      </c>
      <c r="AJ58" s="79">
        <f>ROUND(+Y58-AD58,0)</f>
        <v>139</v>
      </c>
      <c r="AK58" s="79">
        <f t="shared" si="55"/>
        <v>0</v>
      </c>
      <c r="AL58" s="79">
        <f t="shared" si="56"/>
        <v>12411.407044</v>
      </c>
    </row>
    <row r="59" spans="1:45" s="62" customFormat="1" ht="25.5" customHeight="1" x14ac:dyDescent="0.2">
      <c r="A59" s="63" t="s">
        <v>57</v>
      </c>
      <c r="B59" s="64" t="s">
        <v>58</v>
      </c>
      <c r="C59" s="111"/>
      <c r="D59" s="111"/>
      <c r="E59" s="66" t="s">
        <v>181</v>
      </c>
      <c r="F59" s="65">
        <v>27336</v>
      </c>
      <c r="G59" s="67">
        <v>41247</v>
      </c>
      <c r="H59" s="68" t="s">
        <v>144</v>
      </c>
      <c r="I59" s="69"/>
      <c r="J59" s="65" t="s">
        <v>100</v>
      </c>
      <c r="K59" s="67">
        <v>41262</v>
      </c>
      <c r="L59" s="83" t="s">
        <v>144</v>
      </c>
      <c r="M59" s="69"/>
      <c r="N59" s="70">
        <v>2013</v>
      </c>
      <c r="O59" s="70">
        <v>2024</v>
      </c>
      <c r="P59" s="175"/>
      <c r="Q59" s="72"/>
      <c r="R59" s="73"/>
      <c r="S59" s="69"/>
      <c r="T59" s="74"/>
      <c r="U59" s="145">
        <f>134440+633400+9095</f>
        <v>776935</v>
      </c>
      <c r="V59" s="69"/>
      <c r="W59" s="75">
        <f t="shared" si="45"/>
        <v>17690.809950000003</v>
      </c>
      <c r="X59" s="75">
        <f t="shared" si="45"/>
        <v>11769.788314999998</v>
      </c>
      <c r="Y59" s="75">
        <f t="shared" si="45"/>
        <v>9714.0183049999996</v>
      </c>
      <c r="Z59" s="75">
        <f t="shared" si="53"/>
        <v>39174.616569999998</v>
      </c>
      <c r="AA59" s="69"/>
      <c r="AB59" s="76">
        <f>593.87+9553.72</f>
        <v>10147.59</v>
      </c>
      <c r="AC59" s="77">
        <f>(653.8+10517.6)*X1/(X1+Y1)</f>
        <v>6120.1916172428755</v>
      </c>
      <c r="AD59" s="77">
        <f>1385.28+3163.81+113.71+(653.8+10517.6)*Y1/(X1+Y1)</f>
        <v>9714.0083827571252</v>
      </c>
      <c r="AE59" s="77"/>
      <c r="AF59" s="77">
        <f t="shared" si="47"/>
        <v>25981.79</v>
      </c>
      <c r="AG59" s="69"/>
      <c r="AH59" s="78">
        <f t="shared" si="54"/>
        <v>7543.2199500000024</v>
      </c>
      <c r="AI59" s="79">
        <f t="shared" si="54"/>
        <v>5649.5966977571225</v>
      </c>
      <c r="AJ59" s="200">
        <f>ROUND(+Y59-AD59,0)</f>
        <v>0</v>
      </c>
      <c r="AK59" s="79">
        <f t="shared" si="55"/>
        <v>0</v>
      </c>
      <c r="AL59" s="79">
        <f t="shared" si="56"/>
        <v>13192.826569999997</v>
      </c>
    </row>
    <row r="60" spans="1:45" s="62" customFormat="1" ht="26.25" customHeight="1" x14ac:dyDescent="0.2">
      <c r="A60" s="63" t="s">
        <v>61</v>
      </c>
      <c r="B60" s="64" t="s">
        <v>62</v>
      </c>
      <c r="C60" s="65">
        <v>35.054606679999999</v>
      </c>
      <c r="D60" s="65">
        <v>-85.307281329999995</v>
      </c>
      <c r="E60" s="66" t="s">
        <v>195</v>
      </c>
      <c r="F60" s="65">
        <v>23253</v>
      </c>
      <c r="G60" s="67">
        <v>40513</v>
      </c>
      <c r="H60" s="68" t="s">
        <v>144</v>
      </c>
      <c r="I60" s="69"/>
      <c r="J60" s="65" t="s">
        <v>83</v>
      </c>
      <c r="K60" s="67">
        <v>37349</v>
      </c>
      <c r="L60" s="83" t="s">
        <v>144</v>
      </c>
      <c r="M60" s="69"/>
      <c r="N60" s="70">
        <v>2012</v>
      </c>
      <c r="O60" s="70">
        <v>2025</v>
      </c>
      <c r="P60" s="175"/>
      <c r="Q60" s="72"/>
      <c r="R60" s="73"/>
      <c r="S60" s="69"/>
      <c r="T60" s="74"/>
      <c r="U60" s="145">
        <f>2789+4912920</f>
        <v>4915709</v>
      </c>
      <c r="V60" s="69"/>
      <c r="W60" s="75">
        <f t="shared" si="45"/>
        <v>111930.69393000001</v>
      </c>
      <c r="X60" s="75">
        <f t="shared" si="45"/>
        <v>74468.075640999989</v>
      </c>
      <c r="Y60" s="75">
        <f t="shared" si="45"/>
        <v>61461.109626999998</v>
      </c>
      <c r="Z60" s="75">
        <f t="shared" si="53"/>
        <v>247859.87919800001</v>
      </c>
      <c r="AA60" s="69"/>
      <c r="AB60" s="76">
        <v>0</v>
      </c>
      <c r="AC60" s="77">
        <v>0</v>
      </c>
      <c r="AD60" s="77">
        <v>0</v>
      </c>
      <c r="AE60" s="77"/>
      <c r="AF60" s="77">
        <f t="shared" si="47"/>
        <v>0</v>
      </c>
      <c r="AG60" s="69"/>
      <c r="AH60" s="78">
        <f t="shared" si="54"/>
        <v>111930.69393000001</v>
      </c>
      <c r="AI60" s="79">
        <f t="shared" si="54"/>
        <v>74468.075640999989</v>
      </c>
      <c r="AJ60" s="79">
        <f t="shared" si="54"/>
        <v>61461.109626999998</v>
      </c>
      <c r="AK60" s="79">
        <f t="shared" si="55"/>
        <v>0</v>
      </c>
      <c r="AL60" s="79">
        <f t="shared" si="56"/>
        <v>247859.87919800001</v>
      </c>
    </row>
    <row r="61" spans="1:45" s="62" customFormat="1" ht="26.25" customHeight="1" x14ac:dyDescent="0.2">
      <c r="A61" s="124" t="s">
        <v>205</v>
      </c>
      <c r="B61" s="64"/>
      <c r="C61" s="65"/>
      <c r="D61" s="65"/>
      <c r="E61" s="66"/>
      <c r="F61" s="65"/>
      <c r="G61" s="67"/>
      <c r="H61" s="68"/>
      <c r="I61" s="69"/>
      <c r="J61" s="65"/>
      <c r="K61" s="67"/>
      <c r="L61" s="178"/>
      <c r="M61" s="69"/>
      <c r="N61" s="70"/>
      <c r="O61" s="70"/>
      <c r="P61" s="175"/>
      <c r="Q61" s="72"/>
      <c r="R61" s="73"/>
      <c r="S61" s="69"/>
      <c r="T61" s="74"/>
      <c r="U61" s="145"/>
      <c r="V61" s="69"/>
      <c r="W61" s="75"/>
      <c r="X61" s="75"/>
      <c r="Y61" s="75"/>
      <c r="Z61" s="75"/>
      <c r="AA61" s="69"/>
      <c r="AB61" s="76"/>
      <c r="AC61" s="77"/>
      <c r="AD61" s="77"/>
      <c r="AE61" s="77"/>
      <c r="AF61" s="77"/>
      <c r="AG61" s="69"/>
      <c r="AH61" s="78"/>
      <c r="AI61" s="79"/>
      <c r="AJ61" s="79"/>
      <c r="AK61" s="79"/>
      <c r="AL61" s="79"/>
    </row>
    <row r="62" spans="1:45" s="62" customFormat="1" ht="36" x14ac:dyDescent="0.2">
      <c r="A62" s="179" t="s">
        <v>200</v>
      </c>
      <c r="B62" s="113" t="s">
        <v>202</v>
      </c>
      <c r="C62" s="114"/>
      <c r="D62" s="114"/>
      <c r="E62" s="115"/>
      <c r="F62" s="65">
        <v>28835</v>
      </c>
      <c r="G62" s="67">
        <v>42682</v>
      </c>
      <c r="H62" s="116" t="s">
        <v>144</v>
      </c>
      <c r="I62" s="69"/>
      <c r="J62" s="70" t="s">
        <v>201</v>
      </c>
      <c r="K62" s="180">
        <v>42711</v>
      </c>
      <c r="L62" s="181" t="s">
        <v>144</v>
      </c>
      <c r="M62" s="69"/>
      <c r="N62" s="70">
        <v>2017</v>
      </c>
      <c r="O62" s="70">
        <v>2057</v>
      </c>
      <c r="P62" s="175"/>
      <c r="Q62" s="72"/>
      <c r="R62" s="177" t="s">
        <v>206</v>
      </c>
      <c r="S62" s="69"/>
      <c r="T62" s="74"/>
      <c r="U62" s="145"/>
      <c r="V62" s="69"/>
      <c r="W62" s="75"/>
      <c r="X62" s="75"/>
      <c r="Y62" s="75"/>
      <c r="Z62" s="75"/>
      <c r="AA62" s="69"/>
      <c r="AB62" s="76"/>
      <c r="AC62" s="77"/>
      <c r="AD62" s="77"/>
      <c r="AE62" s="77"/>
      <c r="AF62" s="77"/>
      <c r="AG62" s="69"/>
      <c r="AH62" s="78"/>
      <c r="AI62" s="79"/>
      <c r="AJ62" s="79"/>
      <c r="AK62" s="79"/>
      <c r="AL62" s="79"/>
    </row>
    <row r="63" spans="1:45" s="62" customFormat="1" ht="4.5" customHeight="1" x14ac:dyDescent="0.2">
      <c r="A63" s="88"/>
      <c r="B63" s="89"/>
      <c r="C63" s="90"/>
      <c r="D63" s="90"/>
      <c r="E63" s="91"/>
      <c r="F63" s="90"/>
      <c r="G63" s="92"/>
      <c r="H63" s="93"/>
      <c r="I63" s="94"/>
      <c r="J63" s="90"/>
      <c r="K63" s="92"/>
      <c r="L63" s="97"/>
      <c r="M63" s="94"/>
      <c r="N63" s="182"/>
      <c r="O63" s="182"/>
      <c r="P63" s="183"/>
      <c r="Q63" s="100"/>
      <c r="R63" s="184"/>
      <c r="S63" s="94"/>
      <c r="T63" s="185"/>
      <c r="U63" s="94"/>
      <c r="V63" s="94"/>
      <c r="W63" s="103"/>
      <c r="X63" s="103"/>
      <c r="Y63" s="103"/>
      <c r="Z63" s="103"/>
      <c r="AA63" s="94"/>
      <c r="AB63" s="105"/>
      <c r="AC63" s="186"/>
      <c r="AD63" s="186"/>
      <c r="AE63" s="186"/>
      <c r="AF63" s="186"/>
      <c r="AG63" s="94"/>
      <c r="AH63" s="106"/>
      <c r="AI63" s="187"/>
      <c r="AJ63" s="187"/>
      <c r="AK63" s="187"/>
      <c r="AL63" s="187"/>
    </row>
    <row r="64" spans="1:45" ht="25.5" customHeight="1" thickBot="1" x14ac:dyDescent="0.25">
      <c r="R64" s="34"/>
      <c r="W64" s="29">
        <f>SUM(W5:W62)</f>
        <v>17399774.038170006</v>
      </c>
      <c r="X64" s="29">
        <f>SUM(X5:X62)</f>
        <v>11244740.411664998</v>
      </c>
      <c r="Y64" s="29">
        <f>SUM(Y5:Y62)</f>
        <v>9280678.0663819946</v>
      </c>
      <c r="Z64" s="29">
        <f>SUM(Z5:Z62)</f>
        <v>37925192.516216993</v>
      </c>
      <c r="AB64" s="28">
        <f>SUM(AB5:AB62)</f>
        <v>2593382.2058095001</v>
      </c>
      <c r="AC64" s="28">
        <f>SUM(AC5:AC62)</f>
        <v>1362037.1660976061</v>
      </c>
      <c r="AD64" s="28">
        <f>SUM(AD5:AD62)</f>
        <v>7819354.7203724803</v>
      </c>
      <c r="AE64" s="28">
        <f>SUM(AE5:AE62)</f>
        <v>767427.68909922708</v>
      </c>
      <c r="AF64" s="28">
        <f>SUM(AF5:AF62)</f>
        <v>12542201.781378809</v>
      </c>
      <c r="AH64" s="26">
        <f>SUM(AH5:AH62)</f>
        <v>14806391.832360502</v>
      </c>
      <c r="AI64" s="26">
        <f>SUM(AI5:AI62)</f>
        <v>9882703.2455673926</v>
      </c>
      <c r="AJ64" s="26">
        <f>SUM(AJ5:AJ62)</f>
        <v>1461323.6675597348</v>
      </c>
      <c r="AK64" s="26">
        <f>SUM(AK5:AK62)</f>
        <v>-594785.63311190088</v>
      </c>
      <c r="AL64" s="26">
        <f>SUM(AL5:AL62)</f>
        <v>25382990.73483818</v>
      </c>
    </row>
    <row r="65" spans="1:32" ht="30.6" customHeight="1" thickTop="1" x14ac:dyDescent="0.2">
      <c r="A65" s="43" t="s">
        <v>237</v>
      </c>
      <c r="B65" s="43"/>
      <c r="C65" s="43"/>
      <c r="D65" s="43"/>
      <c r="E65" s="43"/>
      <c r="F65" s="43"/>
      <c r="G65" s="43"/>
      <c r="H65" s="43"/>
      <c r="I65" s="43"/>
      <c r="J65" s="43"/>
      <c r="K65" s="43"/>
      <c r="L65" s="43"/>
      <c r="M65" s="42"/>
      <c r="N65" s="41"/>
      <c r="O65" s="41"/>
      <c r="R65" s="34"/>
    </row>
    <row r="66" spans="1:32" ht="15" customHeight="1" x14ac:dyDescent="0.2">
      <c r="R66" s="34"/>
    </row>
    <row r="67" spans="1:32" ht="15" customHeight="1" x14ac:dyDescent="0.2">
      <c r="R67" s="34"/>
    </row>
    <row r="68" spans="1:32" ht="15" customHeight="1" x14ac:dyDescent="0.2">
      <c r="R68" s="34"/>
    </row>
    <row r="69" spans="1:32" ht="15" customHeight="1" x14ac:dyDescent="0.2">
      <c r="R69" s="34"/>
    </row>
    <row r="70" spans="1:32" ht="15" customHeight="1" x14ac:dyDescent="0.2">
      <c r="R70" s="34"/>
    </row>
    <row r="71" spans="1:32" ht="15" customHeight="1" x14ac:dyDescent="0.2">
      <c r="R71" s="34"/>
    </row>
    <row r="72" spans="1:32" ht="15" customHeight="1" x14ac:dyDescent="0.2">
      <c r="R72" s="34"/>
    </row>
    <row r="73" spans="1:32" ht="15" hidden="1" customHeight="1" x14ac:dyDescent="0.2">
      <c r="R73" s="34"/>
      <c r="AB73" s="3">
        <v>1762.2063999999998</v>
      </c>
      <c r="AC73" s="3">
        <v>1080</v>
      </c>
      <c r="AD73" s="3">
        <v>1064</v>
      </c>
      <c r="AF73" s="3">
        <v>3906.2064</v>
      </c>
    </row>
    <row r="74" spans="1:32" ht="15" hidden="1" customHeight="1" x14ac:dyDescent="0.2">
      <c r="R74" s="34"/>
      <c r="AB74" s="3">
        <f>+(W54-AB73)*0.2+AB73</f>
        <v>4164.0243200000004</v>
      </c>
      <c r="AC74" s="3">
        <f>+(X54-AC73)*0.2+AC73</f>
        <v>2696.4230399999997</v>
      </c>
      <c r="AD74" s="3">
        <f>+(Y54-AD73)*0.2+AD73</f>
        <v>2363.56288</v>
      </c>
    </row>
    <row r="75" spans="1:32" ht="15" customHeight="1" x14ac:dyDescent="0.2">
      <c r="R75" s="34"/>
    </row>
    <row r="76" spans="1:32" ht="15" customHeight="1" x14ac:dyDescent="0.2">
      <c r="R76" s="34"/>
    </row>
    <row r="77" spans="1:32" ht="15" customHeight="1" x14ac:dyDescent="0.2">
      <c r="R77" s="34"/>
    </row>
    <row r="78" spans="1:32" ht="15" customHeight="1" x14ac:dyDescent="0.2">
      <c r="R78" s="34"/>
    </row>
    <row r="79" spans="1:32" ht="15" customHeight="1" x14ac:dyDescent="0.2">
      <c r="R79" s="34"/>
    </row>
    <row r="80" spans="1:32" ht="15" customHeight="1" x14ac:dyDescent="0.2">
      <c r="R80" s="34"/>
    </row>
    <row r="81" spans="18:18" ht="15" customHeight="1" x14ac:dyDescent="0.2">
      <c r="R81" s="34"/>
    </row>
    <row r="82" spans="18:18" ht="15" customHeight="1" x14ac:dyDescent="0.2">
      <c r="R82" s="34"/>
    </row>
    <row r="83" spans="18:18" ht="15" customHeight="1" x14ac:dyDescent="0.2">
      <c r="R83" s="34"/>
    </row>
    <row r="84" spans="18:18" ht="15" customHeight="1" x14ac:dyDescent="0.2">
      <c r="R84" s="34"/>
    </row>
    <row r="85" spans="18:18" ht="15" customHeight="1" x14ac:dyDescent="0.2">
      <c r="R85" s="34"/>
    </row>
    <row r="86" spans="18:18" ht="15" customHeight="1" x14ac:dyDescent="0.2">
      <c r="R86" s="34"/>
    </row>
    <row r="87" spans="18:18" ht="15" customHeight="1" x14ac:dyDescent="0.2">
      <c r="R87" s="34"/>
    </row>
    <row r="88" spans="18:18" ht="15" customHeight="1" x14ac:dyDescent="0.2">
      <c r="R88" s="34"/>
    </row>
    <row r="89" spans="18:18" ht="15" customHeight="1" x14ac:dyDescent="0.2">
      <c r="R89" s="34"/>
    </row>
    <row r="90" spans="18:18" ht="15" customHeight="1" x14ac:dyDescent="0.2">
      <c r="R90" s="34"/>
    </row>
    <row r="91" spans="18:18" ht="15" customHeight="1" x14ac:dyDescent="0.2">
      <c r="R91" s="34"/>
    </row>
    <row r="92" spans="18:18" ht="15" customHeight="1" x14ac:dyDescent="0.2">
      <c r="R92" s="34"/>
    </row>
    <row r="93" spans="18:18" ht="15" customHeight="1" x14ac:dyDescent="0.2">
      <c r="R93" s="34"/>
    </row>
    <row r="94" spans="18:18" ht="15" customHeight="1" x14ac:dyDescent="0.2">
      <c r="R94" s="34"/>
    </row>
    <row r="95" spans="18:18" ht="15" customHeight="1" x14ac:dyDescent="0.2">
      <c r="R95" s="34"/>
    </row>
    <row r="96" spans="18:18" ht="15" customHeight="1" x14ac:dyDescent="0.2">
      <c r="R96" s="34"/>
    </row>
    <row r="97" spans="18:18" ht="15" customHeight="1" x14ac:dyDescent="0.2">
      <c r="R97" s="34"/>
    </row>
    <row r="98" spans="18:18" ht="15" customHeight="1" x14ac:dyDescent="0.2">
      <c r="R98" s="34"/>
    </row>
    <row r="99" spans="18:18" ht="15" customHeight="1" x14ac:dyDescent="0.2">
      <c r="R99" s="34"/>
    </row>
    <row r="100" spans="18:18" ht="15" customHeight="1" x14ac:dyDescent="0.2">
      <c r="R100" s="34"/>
    </row>
    <row r="101" spans="18:18" ht="15" customHeight="1" x14ac:dyDescent="0.2">
      <c r="R101" s="34"/>
    </row>
    <row r="102" spans="18:18" ht="15" customHeight="1" x14ac:dyDescent="0.2">
      <c r="R102" s="34"/>
    </row>
    <row r="103" spans="18:18" ht="15" customHeight="1" x14ac:dyDescent="0.2">
      <c r="R103" s="34"/>
    </row>
    <row r="104" spans="18:18" ht="15" customHeight="1" x14ac:dyDescent="0.2">
      <c r="R104" s="34"/>
    </row>
    <row r="105" spans="18:18" ht="15" customHeight="1" x14ac:dyDescent="0.2">
      <c r="R105" s="34"/>
    </row>
    <row r="106" spans="18:18" ht="15" customHeight="1" x14ac:dyDescent="0.2">
      <c r="R106" s="34"/>
    </row>
    <row r="107" spans="18:18" ht="15" customHeight="1" x14ac:dyDescent="0.2">
      <c r="R107" s="34"/>
    </row>
    <row r="108" spans="18:18" ht="15" customHeight="1" x14ac:dyDescent="0.2">
      <c r="R108" s="34"/>
    </row>
    <row r="109" spans="18:18" ht="15" customHeight="1" x14ac:dyDescent="0.2">
      <c r="R109" s="34"/>
    </row>
    <row r="110" spans="18:18" ht="15" customHeight="1" x14ac:dyDescent="0.2">
      <c r="R110" s="34"/>
    </row>
    <row r="111" spans="18:18" ht="15" customHeight="1" x14ac:dyDescent="0.2">
      <c r="R111" s="34"/>
    </row>
    <row r="112" spans="18:18" ht="15" customHeight="1" x14ac:dyDescent="0.2">
      <c r="R112" s="34"/>
    </row>
    <row r="113" spans="18:18" ht="15" customHeight="1" x14ac:dyDescent="0.2">
      <c r="R113" s="34"/>
    </row>
    <row r="114" spans="18:18" ht="15" customHeight="1" x14ac:dyDescent="0.2">
      <c r="R114" s="34"/>
    </row>
    <row r="115" spans="18:18" ht="15" customHeight="1" x14ac:dyDescent="0.2">
      <c r="R115" s="34"/>
    </row>
    <row r="116" spans="18:18" ht="15" customHeight="1" x14ac:dyDescent="0.2">
      <c r="R116" s="34"/>
    </row>
    <row r="117" spans="18:18" ht="15" customHeight="1" x14ac:dyDescent="0.2">
      <c r="R117" s="34"/>
    </row>
    <row r="118" spans="18:18" ht="15" customHeight="1" x14ac:dyDescent="0.2">
      <c r="R118" s="34"/>
    </row>
    <row r="119" spans="18:18" ht="15" customHeight="1" x14ac:dyDescent="0.2">
      <c r="R119" s="34"/>
    </row>
    <row r="120" spans="18:18" ht="15" customHeight="1" x14ac:dyDescent="0.2">
      <c r="R120" s="34"/>
    </row>
    <row r="121" spans="18:18" ht="15" customHeight="1" x14ac:dyDescent="0.2">
      <c r="R121" s="34"/>
    </row>
    <row r="122" spans="18:18" ht="15" customHeight="1" x14ac:dyDescent="0.2">
      <c r="R122" s="34"/>
    </row>
    <row r="123" spans="18:18" ht="15" customHeight="1" x14ac:dyDescent="0.2">
      <c r="R123" s="34"/>
    </row>
  </sheetData>
  <autoFilter ref="A3:AL60"/>
  <mergeCells count="79">
    <mergeCell ref="H39:H40"/>
    <mergeCell ref="N39:N40"/>
    <mergeCell ref="O39:O40"/>
    <mergeCell ref="P39:P40"/>
    <mergeCell ref="Q39:Q40"/>
    <mergeCell ref="S39:S40"/>
    <mergeCell ref="U39:U40"/>
    <mergeCell ref="W39:W40"/>
    <mergeCell ref="X39:X40"/>
    <mergeCell ref="Y39:Y40"/>
    <mergeCell ref="A34:A35"/>
    <mergeCell ref="N34:N35"/>
    <mergeCell ref="O34:O35"/>
    <mergeCell ref="P34:P35"/>
    <mergeCell ref="Q34:Q35"/>
    <mergeCell ref="B34:B35"/>
    <mergeCell ref="E34:E35"/>
    <mergeCell ref="S34:S35"/>
    <mergeCell ref="W34:W35"/>
    <mergeCell ref="X34:X35"/>
    <mergeCell ref="Y34:Y35"/>
    <mergeCell ref="Z34:Z35"/>
    <mergeCell ref="U34:U35"/>
    <mergeCell ref="AL34:AL35"/>
    <mergeCell ref="AB34:AB35"/>
    <mergeCell ref="AC34:AC35"/>
    <mergeCell ref="AD34:AD35"/>
    <mergeCell ref="AE34:AE35"/>
    <mergeCell ref="AF34:AF35"/>
    <mergeCell ref="AH34:AH35"/>
    <mergeCell ref="AI34:AI35"/>
    <mergeCell ref="AJ34:AJ35"/>
    <mergeCell ref="AK34:AK35"/>
    <mergeCell ref="Z39:Z40"/>
    <mergeCell ref="AB39:AB40"/>
    <mergeCell ref="AC39:AC40"/>
    <mergeCell ref="AD39:AD40"/>
    <mergeCell ref="AF39:AF40"/>
    <mergeCell ref="AL39:AL40"/>
    <mergeCell ref="AH39:AH40"/>
    <mergeCell ref="AI39:AI40"/>
    <mergeCell ref="AJ39:AJ40"/>
    <mergeCell ref="AE39:AE40"/>
    <mergeCell ref="AK39:AK40"/>
    <mergeCell ref="AI32:AI33"/>
    <mergeCell ref="AJ32:AJ33"/>
    <mergeCell ref="AK32:AK33"/>
    <mergeCell ref="AL32:AL33"/>
    <mergeCell ref="B32:B33"/>
    <mergeCell ref="E32:E33"/>
    <mergeCell ref="F32:F33"/>
    <mergeCell ref="G32:G33"/>
    <mergeCell ref="H32:H33"/>
    <mergeCell ref="AC32:AC33"/>
    <mergeCell ref="AD32:AD33"/>
    <mergeCell ref="AE32:AE33"/>
    <mergeCell ref="AF32:AF33"/>
    <mergeCell ref="AH32:AH33"/>
    <mergeCell ref="A39:A40"/>
    <mergeCell ref="B39:B40"/>
    <mergeCell ref="E39:E40"/>
    <mergeCell ref="F39:F40"/>
    <mergeCell ref="G39:G40"/>
    <mergeCell ref="F2:H2"/>
    <mergeCell ref="J2:L2"/>
    <mergeCell ref="AB2:AF2"/>
    <mergeCell ref="AH2:AL2"/>
    <mergeCell ref="A32:A33"/>
    <mergeCell ref="N32:N33"/>
    <mergeCell ref="O32:O33"/>
    <mergeCell ref="P32:P33"/>
    <mergeCell ref="Q32:Q33"/>
    <mergeCell ref="S32:S33"/>
    <mergeCell ref="U32:U33"/>
    <mergeCell ref="W32:W33"/>
    <mergeCell ref="X32:X33"/>
    <mergeCell ref="Y32:Y33"/>
    <mergeCell ref="Z32:Z33"/>
    <mergeCell ref="AB32:AB33"/>
  </mergeCells>
  <hyperlinks>
    <hyperlink ref="H31" r:id="rId1"/>
    <hyperlink ref="H11" r:id="rId2"/>
    <hyperlink ref="H12" r:id="rId3"/>
    <hyperlink ref="H13" r:id="rId4"/>
    <hyperlink ref="H14" r:id="rId5"/>
    <hyperlink ref="H6" r:id="rId6"/>
    <hyperlink ref="H15" r:id="rId7"/>
    <hyperlink ref="H32" r:id="rId8"/>
    <hyperlink ref="H36" r:id="rId9"/>
    <hyperlink ref="H18" r:id="rId10"/>
    <hyperlink ref="H37" r:id="rId11"/>
    <hyperlink ref="H19" r:id="rId12"/>
    <hyperlink ref="H20" r:id="rId13"/>
    <hyperlink ref="H21" r:id="rId14"/>
    <hyperlink ref="H22" r:id="rId15"/>
    <hyperlink ref="H9" r:id="rId16"/>
    <hyperlink ref="H23" r:id="rId17"/>
    <hyperlink ref="H38" r:id="rId18"/>
    <hyperlink ref="H25" r:id="rId19"/>
    <hyperlink ref="H26" r:id="rId20"/>
    <hyperlink ref="H41" r:id="rId21"/>
    <hyperlink ref="H42" r:id="rId22"/>
    <hyperlink ref="H27" r:id="rId23"/>
    <hyperlink ref="H28" r:id="rId24"/>
    <hyperlink ref="H48" r:id="rId25"/>
    <hyperlink ref="H51" r:id="rId26"/>
    <hyperlink ref="H53" r:id="rId27"/>
    <hyperlink ref="H54" r:id="rId28"/>
    <hyperlink ref="H58" r:id="rId29"/>
    <hyperlink ref="H59" r:id="rId30"/>
    <hyperlink ref="H60" r:id="rId31"/>
    <hyperlink ref="H44" r:id="rId32"/>
    <hyperlink ref="L44" r:id="rId33"/>
    <hyperlink ref="L60" r:id="rId34"/>
    <hyperlink ref="L31" r:id="rId35"/>
    <hyperlink ref="L11" r:id="rId36"/>
    <hyperlink ref="L12" r:id="rId37"/>
    <hyperlink ref="L13" r:id="rId38"/>
    <hyperlink ref="L14" r:id="rId39"/>
    <hyperlink ref="L6" r:id="rId40"/>
    <hyperlink ref="L15" r:id="rId41"/>
    <hyperlink ref="L36" r:id="rId42"/>
    <hyperlink ref="L18" r:id="rId43"/>
    <hyperlink ref="L37" r:id="rId44"/>
    <hyperlink ref="L19" r:id="rId45"/>
    <hyperlink ref="L20" r:id="rId46"/>
    <hyperlink ref="L21" r:id="rId47"/>
    <hyperlink ref="L22" r:id="rId48"/>
    <hyperlink ref="L9" r:id="rId49"/>
    <hyperlink ref="L23" r:id="rId50"/>
    <hyperlink ref="L38" r:id="rId51"/>
    <hyperlink ref="L25" r:id="rId52"/>
    <hyperlink ref="L26" r:id="rId53"/>
    <hyperlink ref="L41" r:id="rId54"/>
    <hyperlink ref="L42" r:id="rId55"/>
    <hyperlink ref="L27" r:id="rId56"/>
    <hyperlink ref="L28" r:id="rId57"/>
    <hyperlink ref="L48" r:id="rId58"/>
    <hyperlink ref="L51" r:id="rId59"/>
    <hyperlink ref="L53" r:id="rId60"/>
    <hyperlink ref="L54" r:id="rId61"/>
    <hyperlink ref="L58" r:id="rId62"/>
    <hyperlink ref="L59" r:id="rId63"/>
    <hyperlink ref="L49" r:id="rId64"/>
    <hyperlink ref="H52" r:id="rId65"/>
    <hyperlink ref="H49" r:id="rId66"/>
    <hyperlink ref="L52" r:id="rId67"/>
    <hyperlink ref="H34" r:id="rId68"/>
    <hyperlink ref="H16" r:id="rId69"/>
    <hyperlink ref="L47" r:id="rId70"/>
    <hyperlink ref="L34" r:id="rId71"/>
    <hyperlink ref="L16" r:id="rId72"/>
    <hyperlink ref="L24" r:id="rId73"/>
    <hyperlink ref="H47" r:id="rId74"/>
    <hyperlink ref="H24" r:id="rId75"/>
    <hyperlink ref="L32" r:id="rId76"/>
    <hyperlink ref="L33" r:id="rId77"/>
    <hyperlink ref="L40" r:id="rId78"/>
    <hyperlink ref="H35" r:id="rId79"/>
    <hyperlink ref="L35" r:id="rId80"/>
    <hyperlink ref="L45" r:id="rId81"/>
    <hyperlink ref="H29" r:id="rId82"/>
    <hyperlink ref="L29" r:id="rId83"/>
    <hyperlink ref="H50" r:id="rId84"/>
    <hyperlink ref="L50" r:id="rId85"/>
    <hyperlink ref="L39" r:id="rId86"/>
    <hyperlink ref="H39:H40" r:id="rId87" display="View"/>
    <hyperlink ref="L7" r:id="rId88"/>
    <hyperlink ref="L5" r:id="rId89"/>
    <hyperlink ref="H7" r:id="rId90"/>
    <hyperlink ref="H5" r:id="rId91"/>
    <hyperlink ref="L55" r:id="rId92"/>
    <hyperlink ref="L62" r:id="rId93"/>
    <hyperlink ref="H62" r:id="rId94"/>
    <hyperlink ref="H55" r:id="rId95"/>
    <hyperlink ref="H8" r:id="rId96"/>
    <hyperlink ref="L8" r:id="rId97"/>
    <hyperlink ref="H10" r:id="rId98"/>
    <hyperlink ref="L10" r:id="rId99"/>
    <hyperlink ref="H17" r:id="rId100"/>
    <hyperlink ref="L17" r:id="rId101"/>
    <hyperlink ref="L57" r:id="rId102"/>
    <hyperlink ref="H57" r:id="rId103"/>
    <hyperlink ref="H56" r:id="rId104"/>
    <hyperlink ref="L56" r:id="rId105"/>
  </hyperlinks>
  <pageMargins left="0.17" right="0.17" top="0.5" bottom="0.5" header="0" footer="0"/>
  <pageSetup paperSize="17" scale="42" fitToHeight="0" orientation="landscape" r:id="rId106"/>
  <ignoredErrors>
    <ignoredError sqref="Y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 18 with notes (tax year 2017</vt:lpstr>
      <vt:lpstr>'FY 18 with notes (tax year 2017'!Print_Area</vt:lpstr>
      <vt:lpstr>'FY 18 with notes (tax year 2017'!Print_Titles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Brouner, Lee</dc:creator>
  <cp:lastModifiedBy>Cannon, Shelia</cp:lastModifiedBy>
  <cp:lastPrinted>2017-08-16T18:42:53Z</cp:lastPrinted>
  <dcterms:created xsi:type="dcterms:W3CDTF">2015-03-25T18:15:22Z</dcterms:created>
  <dcterms:modified xsi:type="dcterms:W3CDTF">2019-01-28T16:21:26Z</dcterms:modified>
</cp:coreProperties>
</file>