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5" yWindow="540" windowWidth="23625" windowHeight="9510"/>
  </bookViews>
  <sheets>
    <sheet name="FY 19 with notes (tax year 2018" sheetId="9" r:id="rId1"/>
  </sheets>
  <definedNames>
    <definedName name="_xlnm._FilterDatabase" localSheetId="0" hidden="1">'FY 19 with notes (tax year 2018'!$A$3:$AL$57</definedName>
    <definedName name="_xlnm.Print_Area" localSheetId="0">'FY 19 with notes (tax year 2018'!$A$1:$AL$70</definedName>
  </definedNames>
  <calcPr calcId="145621"/>
</workbook>
</file>

<file path=xl/calcChain.xml><?xml version="1.0" encoding="utf-8"?>
<calcChain xmlns="http://schemas.openxmlformats.org/spreadsheetml/2006/main">
  <c r="U37" i="9" l="1"/>
  <c r="AE67" i="9" l="1"/>
  <c r="AC68" i="9"/>
  <c r="AC67" i="9"/>
  <c r="AB68" i="9"/>
  <c r="AB67" i="9"/>
  <c r="AE11" i="9" l="1"/>
  <c r="AE19" i="9"/>
  <c r="AE18" i="9"/>
  <c r="AE15" i="9"/>
  <c r="AE27" i="9"/>
  <c r="AE12" i="9"/>
  <c r="AD68" i="9" l="1"/>
  <c r="AD67" i="9"/>
  <c r="AC70" i="9" l="1"/>
  <c r="AD70" i="9"/>
  <c r="AB70" i="9"/>
  <c r="Y68" i="9"/>
  <c r="AJ68" i="9" s="1"/>
  <c r="W68" i="9"/>
  <c r="AH68" i="9" l="1"/>
  <c r="AL13" i="9"/>
  <c r="AK13" i="9"/>
  <c r="AJ13" i="9"/>
  <c r="AI13" i="9"/>
  <c r="AH13" i="9"/>
  <c r="U12" i="9" l="1"/>
  <c r="U27" i="9"/>
  <c r="AK12" i="9" l="1"/>
  <c r="AF57" i="9" l="1"/>
  <c r="AK57" i="9"/>
  <c r="W12" i="9" l="1"/>
  <c r="Y12" i="9"/>
  <c r="AD12" i="9" l="1"/>
  <c r="AJ12" i="9" s="1"/>
  <c r="AB12" i="9"/>
  <c r="AH12" i="9" s="1"/>
  <c r="Y57" i="9"/>
  <c r="AJ57" i="9" s="1"/>
  <c r="W57" i="9"/>
  <c r="AH57" i="9" l="1"/>
  <c r="AD24" i="9" l="1"/>
  <c r="U24" i="9"/>
  <c r="W40" i="9"/>
  <c r="AB40" i="9" s="1"/>
  <c r="AH40" i="9" s="1"/>
  <c r="AK40" i="9"/>
  <c r="Y40" i="9"/>
  <c r="U40" i="9"/>
  <c r="U20" i="9"/>
  <c r="W20" i="9" s="1"/>
  <c r="AD40" i="9" l="1"/>
  <c r="AJ40" i="9" s="1"/>
  <c r="AK29" i="9" l="1"/>
  <c r="W29" i="9"/>
  <c r="AB29" i="9" s="1"/>
  <c r="AH29" i="9" l="1"/>
  <c r="Y29" i="9"/>
  <c r="AD34" i="9"/>
  <c r="U34" i="9"/>
  <c r="U33" i="9"/>
  <c r="AB31" i="9"/>
  <c r="U31" i="9"/>
  <c r="AC19" i="9"/>
  <c r="AB19" i="9"/>
  <c r="U19" i="9"/>
  <c r="U52" i="9"/>
  <c r="U53" i="9"/>
  <c r="U54" i="9"/>
  <c r="AD18" i="9"/>
  <c r="U18" i="9"/>
  <c r="AC15" i="9"/>
  <c r="AB15" i="9"/>
  <c r="U15" i="9"/>
  <c r="W37" i="9"/>
  <c r="U36" i="9"/>
  <c r="U14" i="9"/>
  <c r="U45" i="9"/>
  <c r="AD29" i="9" l="1"/>
  <c r="AJ29" i="9" s="1"/>
  <c r="AH37" i="9"/>
  <c r="Y37" i="9"/>
  <c r="U25" i="9"/>
  <c r="AC25" i="9"/>
  <c r="AB25" i="9"/>
  <c r="AB44" i="9"/>
  <c r="U11" i="9"/>
  <c r="W11" i="9" s="1"/>
  <c r="AB11" i="9" s="1"/>
  <c r="U42" i="9"/>
  <c r="U8" i="9"/>
  <c r="AD9" i="9"/>
  <c r="U9" i="9"/>
  <c r="U7" i="9"/>
  <c r="Y11" i="9" l="1"/>
  <c r="AD37" i="9"/>
  <c r="Y67" i="9"/>
  <c r="W67" i="9"/>
  <c r="W70" i="9" l="1"/>
  <c r="AH67" i="9"/>
  <c r="Y70" i="9"/>
  <c r="AJ67" i="9"/>
  <c r="AJ37" i="9"/>
  <c r="Y22" i="9"/>
  <c r="W22" i="9"/>
  <c r="AJ70" i="9" l="1"/>
  <c r="AE22" i="9"/>
  <c r="AK22" i="9" s="1"/>
  <c r="AB22" i="9"/>
  <c r="AH22" i="9" s="1"/>
  <c r="AH70" i="9"/>
  <c r="AD22" i="9"/>
  <c r="AJ22" i="9"/>
  <c r="AK27" i="9"/>
  <c r="AK51" i="9"/>
  <c r="Y51" i="9"/>
  <c r="AD51" i="9" s="1"/>
  <c r="AF51" i="9" s="1"/>
  <c r="W51" i="9"/>
  <c r="AH51" i="9" s="1"/>
  <c r="W36" i="9"/>
  <c r="AJ51" i="9" l="1"/>
  <c r="Y27" i="9"/>
  <c r="W27" i="9"/>
  <c r="AB27" i="9" s="1"/>
  <c r="AH27" i="9" l="1"/>
  <c r="AD27" i="9"/>
  <c r="U44" i="9"/>
  <c r="X1" i="9"/>
  <c r="AK39" i="9"/>
  <c r="W39" i="9"/>
  <c r="AH39" i="9" s="1"/>
  <c r="Y39" i="9"/>
  <c r="X68" i="9" l="1"/>
  <c r="X12" i="9"/>
  <c r="X57" i="9"/>
  <c r="AC41" i="9"/>
  <c r="X40" i="9"/>
  <c r="X29" i="9"/>
  <c r="AD39" i="9"/>
  <c r="AF39" i="9" s="1"/>
  <c r="AC49" i="9"/>
  <c r="AD49" i="9" s="1"/>
  <c r="AC46" i="9"/>
  <c r="AD46" i="9" s="1"/>
  <c r="AC53" i="9"/>
  <c r="AC31" i="9"/>
  <c r="AD53" i="9"/>
  <c r="AD31" i="9"/>
  <c r="AD54" i="9"/>
  <c r="AD41" i="9"/>
  <c r="AC44" i="9"/>
  <c r="AD44" i="9" s="1"/>
  <c r="X37" i="9"/>
  <c r="AE37" i="9" s="1"/>
  <c r="X67" i="9"/>
  <c r="X22" i="9"/>
  <c r="X39" i="9"/>
  <c r="AI39" i="9" s="1"/>
  <c r="X51" i="9"/>
  <c r="AC54" i="9"/>
  <c r="X27" i="9"/>
  <c r="AC27" i="9" s="1"/>
  <c r="AF27" i="9" s="1"/>
  <c r="AJ27" i="9"/>
  <c r="AK37" i="9" l="1"/>
  <c r="AF37" i="9"/>
  <c r="AC29" i="9"/>
  <c r="Z29" i="9"/>
  <c r="Z40" i="9"/>
  <c r="AC40" i="9"/>
  <c r="AF40" i="9" s="1"/>
  <c r="AL40" i="9" s="1"/>
  <c r="AI40" i="9"/>
  <c r="AC12" i="9"/>
  <c r="AF12" i="9" s="1"/>
  <c r="AI12" i="9"/>
  <c r="Z12" i="9"/>
  <c r="AI57" i="9"/>
  <c r="Z57" i="9"/>
  <c r="AL57" i="9" s="1"/>
  <c r="AI68" i="9"/>
  <c r="AE68" i="9" s="1"/>
  <c r="Z68" i="9"/>
  <c r="Z67" i="9"/>
  <c r="Z70" i="9" s="1"/>
  <c r="AI67" i="9"/>
  <c r="X70" i="9"/>
  <c r="AC22" i="9"/>
  <c r="AF22" i="9" s="1"/>
  <c r="Z22" i="9"/>
  <c r="Z39" i="9"/>
  <c r="AL39" i="9" s="1"/>
  <c r="AI37" i="9"/>
  <c r="Z37" i="9"/>
  <c r="AL37" i="9" s="1"/>
  <c r="AJ39" i="9"/>
  <c r="AI27" i="9"/>
  <c r="Z27" i="9"/>
  <c r="AL27" i="9" s="1"/>
  <c r="AI51" i="9"/>
  <c r="Z51" i="9"/>
  <c r="AL51" i="9" s="1"/>
  <c r="W52" i="9"/>
  <c r="AK52" i="9"/>
  <c r="AK68" i="9" l="1"/>
  <c r="AF68" i="9"/>
  <c r="AL68" i="9" s="1"/>
  <c r="AL12" i="9"/>
  <c r="AI29" i="9"/>
  <c r="AF29" i="9"/>
  <c r="AL29" i="9" s="1"/>
  <c r="AI70" i="9"/>
  <c r="AN70" i="9" s="1"/>
  <c r="AL22" i="9"/>
  <c r="AI22" i="9"/>
  <c r="AH52" i="9"/>
  <c r="Y52" i="9"/>
  <c r="AD52" i="9" s="1"/>
  <c r="AF52" i="9" s="1"/>
  <c r="AK7" i="9"/>
  <c r="Y7" i="9"/>
  <c r="AF67" i="9" l="1"/>
  <c r="AE70" i="9"/>
  <c r="AK67" i="9"/>
  <c r="AK70" i="9" s="1"/>
  <c r="AJ52" i="9"/>
  <c r="AD7" i="9"/>
  <c r="AJ7" i="9" s="1"/>
  <c r="W7" i="9"/>
  <c r="AL67" i="9" l="1"/>
  <c r="AL70" i="9" s="1"/>
  <c r="AF70" i="9"/>
  <c r="AB7" i="9"/>
  <c r="AH7" i="9" l="1"/>
  <c r="Y5" i="9" l="1"/>
  <c r="AD5" i="9" s="1"/>
  <c r="Y43" i="9" l="1"/>
  <c r="W43" i="9"/>
  <c r="AK55" i="9" l="1"/>
  <c r="AF55" i="9"/>
  <c r="AK54" i="9"/>
  <c r="AB54" i="9"/>
  <c r="Y54" i="9"/>
  <c r="AJ54" i="9" s="1"/>
  <c r="AK53" i="9"/>
  <c r="AK49" i="9"/>
  <c r="AF49" i="9"/>
  <c r="Y49" i="9"/>
  <c r="W49" i="9"/>
  <c r="AK46" i="9"/>
  <c r="AF46" i="9"/>
  <c r="Y46" i="9"/>
  <c r="AJ46" i="9" s="1"/>
  <c r="W46" i="9"/>
  <c r="AH46" i="9" s="1"/>
  <c r="AK45" i="9"/>
  <c r="Y45" i="9"/>
  <c r="AD45" i="9" s="1"/>
  <c r="W45" i="9"/>
  <c r="AH45" i="9" s="1"/>
  <c r="AK44" i="9"/>
  <c r="Y44" i="9"/>
  <c r="AK42" i="9"/>
  <c r="Y42" i="9"/>
  <c r="AK41" i="9"/>
  <c r="Y41" i="9"/>
  <c r="W41" i="9"/>
  <c r="AH41" i="9" s="1"/>
  <c r="AK36" i="9"/>
  <c r="Y36" i="9"/>
  <c r="AD36" i="9" s="1"/>
  <c r="S36" i="9"/>
  <c r="AK34" i="9"/>
  <c r="AF34" i="9"/>
  <c r="Y34" i="9"/>
  <c r="S34" i="9"/>
  <c r="AK33" i="9"/>
  <c r="Y33" i="9"/>
  <c r="AD33" i="9" s="1"/>
  <c r="S33" i="9"/>
  <c r="AK31" i="9"/>
  <c r="Y31" i="9"/>
  <c r="S31" i="9"/>
  <c r="AK25" i="9"/>
  <c r="W25" i="9"/>
  <c r="AK24" i="9"/>
  <c r="AF24" i="9"/>
  <c r="AK21" i="9"/>
  <c r="AJ21" i="9"/>
  <c r="AI21" i="9"/>
  <c r="AH21" i="9"/>
  <c r="AF21" i="9"/>
  <c r="Z21" i="9"/>
  <c r="AK20" i="9"/>
  <c r="AK19" i="9"/>
  <c r="Y19" i="9"/>
  <c r="AD19" i="9" s="1"/>
  <c r="AF19" i="9" s="1"/>
  <c r="AK17" i="9"/>
  <c r="Y17" i="9"/>
  <c r="AD17" i="9" s="1"/>
  <c r="AF17" i="9" s="1"/>
  <c r="W17" i="9"/>
  <c r="AH17" i="9" s="1"/>
  <c r="AK16" i="9"/>
  <c r="Y16" i="9"/>
  <c r="AD16" i="9" s="1"/>
  <c r="W16" i="9"/>
  <c r="Y15" i="9"/>
  <c r="AD15" i="9" s="1"/>
  <c r="AK14" i="9"/>
  <c r="W14" i="9"/>
  <c r="AK6" i="9"/>
  <c r="Y6" i="9"/>
  <c r="AD6" i="9" s="1"/>
  <c r="W6" i="9"/>
  <c r="AH6" i="9" s="1"/>
  <c r="S6" i="9"/>
  <c r="AK11" i="9"/>
  <c r="P11" i="9"/>
  <c r="AK10" i="9"/>
  <c r="AF10" i="9"/>
  <c r="Y10" i="9"/>
  <c r="AJ10" i="9" s="1"/>
  <c r="W10" i="9"/>
  <c r="AH10" i="9" s="1"/>
  <c r="AK9" i="9"/>
  <c r="AF9" i="9"/>
  <c r="S9" i="9"/>
  <c r="AK8" i="9"/>
  <c r="W8" i="9"/>
  <c r="AK5" i="9"/>
  <c r="AJ5" i="9"/>
  <c r="AF5" i="9"/>
  <c r="W5" i="9"/>
  <c r="X52" i="9"/>
  <c r="AH49" i="9" l="1"/>
  <c r="AJ49" i="9"/>
  <c r="AI52" i="9"/>
  <c r="Z52" i="9"/>
  <c r="AL52" i="9" s="1"/>
  <c r="X11" i="9"/>
  <c r="AF15" i="9"/>
  <c r="X45" i="9"/>
  <c r="Z45" i="9" s="1"/>
  <c r="X7" i="9"/>
  <c r="AL21" i="9"/>
  <c r="W19" i="9"/>
  <c r="AH19" i="9" s="1"/>
  <c r="Y8" i="9"/>
  <c r="AD8" i="9" s="1"/>
  <c r="AJ45" i="9"/>
  <c r="AF53" i="9"/>
  <c r="AJ44" i="9"/>
  <c r="X8" i="9"/>
  <c r="AC8" i="9" s="1"/>
  <c r="X53" i="9"/>
  <c r="AI53" i="9" s="1"/>
  <c r="X25" i="9"/>
  <c r="AI25" i="9" s="1"/>
  <c r="AF45" i="9"/>
  <c r="Y14" i="9"/>
  <c r="AD14" i="9" s="1"/>
  <c r="Y25" i="9"/>
  <c r="AD25" i="9" s="1"/>
  <c r="AF25" i="9" s="1"/>
  <c r="X16" i="9"/>
  <c r="Z16" i="9" s="1"/>
  <c r="AD42" i="9"/>
  <c r="AF42" i="9" s="1"/>
  <c r="X18" i="9"/>
  <c r="AC18" i="9" s="1"/>
  <c r="Y18" i="9"/>
  <c r="AJ18" i="9" s="1"/>
  <c r="AF54" i="9"/>
  <c r="Y24" i="9"/>
  <c r="AJ24" i="9" s="1"/>
  <c r="W15" i="9"/>
  <c r="AH15" i="9" s="1"/>
  <c r="X49" i="9"/>
  <c r="AK15" i="9"/>
  <c r="X17" i="9"/>
  <c r="AI17" i="9" s="1"/>
  <c r="X36" i="9"/>
  <c r="AC36" i="9" s="1"/>
  <c r="AI36" i="9" s="1"/>
  <c r="W42" i="9"/>
  <c r="AD11" i="9"/>
  <c r="X44" i="9"/>
  <c r="Y53" i="9"/>
  <c r="AJ53" i="9" s="1"/>
  <c r="AJ41" i="9"/>
  <c r="AJ31" i="9"/>
  <c r="X43" i="9"/>
  <c r="Z43" i="9" s="1"/>
  <c r="X5" i="9"/>
  <c r="AI5" i="9" s="1"/>
  <c r="W9" i="9"/>
  <c r="AH9" i="9" s="1"/>
  <c r="Y9" i="9"/>
  <c r="AJ9" i="9" s="1"/>
  <c r="X42" i="9"/>
  <c r="AI42" i="9" s="1"/>
  <c r="X9" i="9"/>
  <c r="AI9" i="9" s="1"/>
  <c r="X14" i="9"/>
  <c r="AJ17" i="9"/>
  <c r="AH25" i="9"/>
  <c r="AF6" i="9"/>
  <c r="AJ6" i="9"/>
  <c r="AB8" i="9"/>
  <c r="AB14" i="9"/>
  <c r="Y20" i="9"/>
  <c r="X20" i="9"/>
  <c r="AI20" i="9" s="1"/>
  <c r="AJ33" i="9"/>
  <c r="W55" i="9"/>
  <c r="Y55" i="9"/>
  <c r="AJ55" i="9" s="1"/>
  <c r="X55" i="9"/>
  <c r="AI55" i="9" s="1"/>
  <c r="AH20" i="9"/>
  <c r="AJ16" i="9"/>
  <c r="AJ19" i="9"/>
  <c r="AJ36" i="9"/>
  <c r="W34" i="9"/>
  <c r="AJ34" i="9"/>
  <c r="X34" i="9"/>
  <c r="AI34" i="9" s="1"/>
  <c r="AH5" i="9"/>
  <c r="AJ15" i="9"/>
  <c r="W24" i="9"/>
  <c r="X10" i="9"/>
  <c r="AI10" i="9" s="1"/>
  <c r="X6" i="9"/>
  <c r="AI6" i="9" s="1"/>
  <c r="AB16" i="9"/>
  <c r="X24" i="9"/>
  <c r="AI24" i="9" s="1"/>
  <c r="W31" i="9"/>
  <c r="X33" i="9"/>
  <c r="W54" i="9"/>
  <c r="W33" i="9"/>
  <c r="X31" i="9"/>
  <c r="X41" i="9"/>
  <c r="W44" i="9"/>
  <c r="X54" i="9"/>
  <c r="AI54" i="9" s="1"/>
  <c r="X15" i="9"/>
  <c r="W18" i="9"/>
  <c r="X19" i="9"/>
  <c r="AN19" i="9" s="1"/>
  <c r="X46" i="9"/>
  <c r="W53" i="9"/>
  <c r="AK18" i="9" l="1"/>
  <c r="AK59" i="9" s="1"/>
  <c r="AB18" i="9"/>
  <c r="AC11" i="9"/>
  <c r="AF11" i="9" s="1"/>
  <c r="AI49" i="9"/>
  <c r="AC16" i="9"/>
  <c r="AI16" i="9" s="1"/>
  <c r="AJ8" i="9"/>
  <c r="AF31" i="9"/>
  <c r="AI18" i="9"/>
  <c r="AN18" i="9"/>
  <c r="AC7" i="9"/>
  <c r="Z7" i="9"/>
  <c r="AJ14" i="9"/>
  <c r="AL45" i="9"/>
  <c r="AI41" i="9"/>
  <c r="AF41" i="9"/>
  <c r="Z8" i="9"/>
  <c r="AI8" i="9"/>
  <c r="AJ42" i="9"/>
  <c r="AI31" i="9"/>
  <c r="AJ25" i="9"/>
  <c r="Z5" i="9"/>
  <c r="AL5" i="9" s="1"/>
  <c r="Z14" i="9"/>
  <c r="Z25" i="9"/>
  <c r="AL25" i="9" s="1"/>
  <c r="Z49" i="9"/>
  <c r="AL49" i="9" s="1"/>
  <c r="AI44" i="9"/>
  <c r="Z42" i="9"/>
  <c r="AL42" i="9" s="1"/>
  <c r="AF44" i="9"/>
  <c r="AI45" i="9"/>
  <c r="Z9" i="9"/>
  <c r="AL9" i="9" s="1"/>
  <c r="AH42" i="9"/>
  <c r="Z17" i="9"/>
  <c r="AL17" i="9" s="1"/>
  <c r="W59" i="9"/>
  <c r="Z20" i="9"/>
  <c r="AC14" i="9"/>
  <c r="AF14" i="9" s="1"/>
  <c r="Y59" i="9"/>
  <c r="Z10" i="9"/>
  <c r="AL10" i="9" s="1"/>
  <c r="X59" i="9"/>
  <c r="Z41" i="9"/>
  <c r="Z36" i="9"/>
  <c r="AB36" i="9"/>
  <c r="AF36" i="9" s="1"/>
  <c r="AI19" i="9"/>
  <c r="Z19" i="9"/>
  <c r="AL19" i="9" s="1"/>
  <c r="Z18" i="9"/>
  <c r="Z44" i="9"/>
  <c r="AH44" i="9"/>
  <c r="Z33" i="9"/>
  <c r="AB33" i="9"/>
  <c r="Z6" i="9"/>
  <c r="AL6" i="9" s="1"/>
  <c r="AH14" i="9"/>
  <c r="AI15" i="9"/>
  <c r="AN15" i="9" s="1"/>
  <c r="Z15" i="9"/>
  <c r="AL15" i="9" s="1"/>
  <c r="Z54" i="9"/>
  <c r="AL54" i="9" s="1"/>
  <c r="AH54" i="9"/>
  <c r="Z24" i="9"/>
  <c r="AL24" i="9" s="1"/>
  <c r="AH24" i="9"/>
  <c r="AJ11" i="9"/>
  <c r="AH53" i="9"/>
  <c r="Z53" i="9"/>
  <c r="AL53" i="9" s="1"/>
  <c r="AF20" i="9"/>
  <c r="AF8" i="9"/>
  <c r="AH8" i="9"/>
  <c r="AH16" i="9"/>
  <c r="AH11" i="9"/>
  <c r="Z11" i="9"/>
  <c r="AH34" i="9"/>
  <c r="Z34" i="9"/>
  <c r="AL34" i="9" s="1"/>
  <c r="AI46" i="9"/>
  <c r="Z46" i="9"/>
  <c r="AL46" i="9" s="1"/>
  <c r="AC33" i="9"/>
  <c r="AI33" i="9" s="1"/>
  <c r="Z31" i="9"/>
  <c r="AH31" i="9"/>
  <c r="AH55" i="9"/>
  <c r="Z55" i="9"/>
  <c r="AL55" i="9" s="1"/>
  <c r="AE59" i="9" l="1"/>
  <c r="AI11" i="9"/>
  <c r="AL11" i="9"/>
  <c r="AF16" i="9"/>
  <c r="AL16" i="9" s="1"/>
  <c r="AL31" i="9"/>
  <c r="AF18" i="9"/>
  <c r="AL18" i="9" s="1"/>
  <c r="AC59" i="9"/>
  <c r="AL8" i="9"/>
  <c r="AI7" i="9"/>
  <c r="AF7" i="9"/>
  <c r="AL7" i="9" s="1"/>
  <c r="AL41" i="9"/>
  <c r="AF33" i="9"/>
  <c r="AL33" i="9" s="1"/>
  <c r="AL44" i="9"/>
  <c r="AL14" i="9"/>
  <c r="AL20" i="9"/>
  <c r="AI14" i="9"/>
  <c r="Z59" i="9"/>
  <c r="AB59" i="9"/>
  <c r="AD59" i="9"/>
  <c r="AJ20" i="9"/>
  <c r="AJ59" i="9" s="1"/>
  <c r="AH18" i="9"/>
  <c r="AH33" i="9"/>
  <c r="AL36" i="9"/>
  <c r="AH36" i="9"/>
  <c r="AI59" i="9" l="1"/>
  <c r="AN59" i="9" s="1"/>
  <c r="AH59" i="9"/>
  <c r="AF59" i="9"/>
  <c r="AL59" i="9"/>
</calcChain>
</file>

<file path=xl/sharedStrings.xml><?xml version="1.0" encoding="utf-8"?>
<sst xmlns="http://schemas.openxmlformats.org/spreadsheetml/2006/main" count="377" uniqueCount="235">
  <si>
    <t>Company Name</t>
  </si>
  <si>
    <t>Jobs Commitment</t>
  </si>
  <si>
    <t xml:space="preserve">Average Wage </t>
  </si>
  <si>
    <t>All Tax Abated Properties Addresses</t>
  </si>
  <si>
    <t>Agreement Investment Notes</t>
  </si>
  <si>
    <t>Resolution Date</t>
  </si>
  <si>
    <t xml:space="preserve">Year Beginning </t>
  </si>
  <si>
    <t>Year Ending</t>
  </si>
  <si>
    <t>Primary Address Lat</t>
  </si>
  <si>
    <t>Primary Address Long</t>
  </si>
  <si>
    <t>N/A</t>
  </si>
  <si>
    <t>1715 W 38th St &amp; 3350 Broad St</t>
  </si>
  <si>
    <t>Olan Mills Drive</t>
  </si>
  <si>
    <t>3063 Hickory Valley Rd</t>
  </si>
  <si>
    <t>JARNIGAN ROAD/EMJ CORP (CBL)</t>
  </si>
  <si>
    <t>2034 Hamilton Place Blvd</t>
  </si>
  <si>
    <t>PLASTIC OMNIUM AUTO EXTERIORS, LLC</t>
  </si>
  <si>
    <t>3241 Hickory Valley Rd</t>
  </si>
  <si>
    <t>PROVIDENT/UNUM PROVIDENT CORP.</t>
  </si>
  <si>
    <t>473 Walnut St</t>
  </si>
  <si>
    <t>Compress St, 3480 Amnicola, 625 Hulsey</t>
  </si>
  <si>
    <t>WESTINGHOUSE ELECTRIC CO</t>
  </si>
  <si>
    <t>401 River Terminal Rd</t>
  </si>
  <si>
    <t>WM WRIGLEY JR CO</t>
  </si>
  <si>
    <t>3002 Jersey Pike</t>
  </si>
  <si>
    <t>AKI</t>
  </si>
  <si>
    <t>3800 Amnicola Hwy</t>
  </si>
  <si>
    <t>AMAZON.COM DEDC LLC PROJECT</t>
  </si>
  <si>
    <t>7200 Volkswagen Dr</t>
  </si>
  <si>
    <t>7380 Volkswagen Dr</t>
  </si>
  <si>
    <t>RIVERCITY CO - MAJESTIC 12 THEATER</t>
  </si>
  <si>
    <t>311 Broad St</t>
  </si>
  <si>
    <t>VOLKSWAGEN GROUP OF AMERICA INC</t>
  </si>
  <si>
    <t>8001 Volkswagen Dr &amp; Discovery Dr</t>
  </si>
  <si>
    <t>1615 Cowart St</t>
  </si>
  <si>
    <t>FRAZIER PARTNERS LLC</t>
  </si>
  <si>
    <t>330 Frazier Ave</t>
  </si>
  <si>
    <t>MK, LLC</t>
  </si>
  <si>
    <t>SOUTH MARKET LLC</t>
  </si>
  <si>
    <t>1280 Market St</t>
  </si>
  <si>
    <t>UTC TWO LLC</t>
  </si>
  <si>
    <t>Lindsay St &amp; 615 Lindsay St</t>
  </si>
  <si>
    <t>UTC THREE LLC</t>
  </si>
  <si>
    <t>863 McCallie Ave</t>
  </si>
  <si>
    <t>WALNUT COMMONS LLC</t>
  </si>
  <si>
    <t>212 Walnut St</t>
  </si>
  <si>
    <t>Assessment on PILOT Properties</t>
  </si>
  <si>
    <t>Property Tax without PILOT Agreement</t>
  </si>
  <si>
    <t>City Taxes</t>
  </si>
  <si>
    <t>County General Tax</t>
  </si>
  <si>
    <t>County School Tax</t>
  </si>
  <si>
    <t>VOLKSWAGEN GROUP OF AMERICA INC - 2014</t>
  </si>
  <si>
    <t>Total Tax - w/o PILOT</t>
  </si>
  <si>
    <t>Net Cost of PILOT</t>
  </si>
  <si>
    <t>City</t>
  </si>
  <si>
    <t>County General Government</t>
  </si>
  <si>
    <t>County Schools</t>
  </si>
  <si>
    <t>Total Cost of PILOT</t>
  </si>
  <si>
    <t>City Council Approval</t>
  </si>
  <si>
    <t>County Commission Approval</t>
  </si>
  <si>
    <t>INDUSTRIAL DEVELOPMENT BOARD OF CHATTANOOGA</t>
  </si>
  <si>
    <t>HEALTH, EDUCATION AND HOUSING FACILITIES BOARD</t>
  </si>
  <si>
    <t>INDUSTRIAL DEVELOPMENT BOARD OF HAMILTON COUNTY</t>
  </si>
  <si>
    <t>909-40</t>
  </si>
  <si>
    <t>1210-12</t>
  </si>
  <si>
    <t>302-41A</t>
  </si>
  <si>
    <t>609-11</t>
  </si>
  <si>
    <t>714-18</t>
  </si>
  <si>
    <t>1208-36</t>
  </si>
  <si>
    <t>207-26</t>
  </si>
  <si>
    <t>706-17</t>
  </si>
  <si>
    <t>614-19</t>
  </si>
  <si>
    <t>309-37</t>
  </si>
  <si>
    <t>1008-27</t>
  </si>
  <si>
    <t>1214-8</t>
  </si>
  <si>
    <t>SOUTHERN CHAMPION TRAY 2014</t>
  </si>
  <si>
    <t>Resolution</t>
  </si>
  <si>
    <t>1212-20</t>
  </si>
  <si>
    <t>1212-21</t>
  </si>
  <si>
    <t>1108-43</t>
  </si>
  <si>
    <t>1010-8</t>
  </si>
  <si>
    <t>1006-36</t>
  </si>
  <si>
    <t>714-31</t>
  </si>
  <si>
    <t>CHATTEM INC  (7/2014)</t>
  </si>
  <si>
    <t>CHATTEM INC  (Agreement 1)</t>
  </si>
  <si>
    <t>CHATTEM INC  (Agreement 2)</t>
  </si>
  <si>
    <t>State Map No.</t>
  </si>
  <si>
    <t>Per 040158</t>
  </si>
  <si>
    <t>139-074</t>
  </si>
  <si>
    <t>145K-K-014</t>
  </si>
  <si>
    <t>155J-D-016.01; 155J-G-018</t>
  </si>
  <si>
    <t>155J-G-018; Per 038582</t>
  </si>
  <si>
    <t>148M-G-005.01; Per 035391</t>
  </si>
  <si>
    <t>145L-B-006.01</t>
  </si>
  <si>
    <t>151-036-L000; Per 033050</t>
  </si>
  <si>
    <t>135M-E-001</t>
  </si>
  <si>
    <t>135NB-A-003</t>
  </si>
  <si>
    <t>145E-L-013.01 C001</t>
  </si>
  <si>
    <t>130-008.18, 24; Per 036767, Per 042026</t>
  </si>
  <si>
    <t>127K-A-001.18; Per 038818</t>
  </si>
  <si>
    <t>138I-A-002.01; Per 033241</t>
  </si>
  <si>
    <t>138I-A-002.01; Per 404153</t>
  </si>
  <si>
    <t>314-25</t>
  </si>
  <si>
    <t>Bill for Payments in Lieu of Taxes</t>
  </si>
  <si>
    <t>Total In Lieu of Taxes</t>
  </si>
  <si>
    <t>2006</t>
  </si>
  <si>
    <t>8002 Volkswagen Dr &amp; Discovery Dr</t>
  </si>
  <si>
    <t>Economic Dev. Fee</t>
  </si>
  <si>
    <t>Link to Resolution</t>
  </si>
  <si>
    <t>View</t>
  </si>
  <si>
    <t>10638 Apison Pike</t>
  </si>
  <si>
    <t>COCA-COLA BOTTLING COMPANY UNITED</t>
  </si>
  <si>
    <t>McKEE FOODS (City of Collegedale)</t>
  </si>
  <si>
    <t>914-31</t>
  </si>
  <si>
    <t>215-37</t>
  </si>
  <si>
    <t>315-43</t>
  </si>
  <si>
    <t>515-28</t>
  </si>
  <si>
    <t>GESTAMP NORTH AMERICA, INC</t>
  </si>
  <si>
    <t>715-15</t>
  </si>
  <si>
    <t>GESTAMP CHATTANOOGA LLC (07/2010)</t>
  </si>
  <si>
    <t>UTC FIVE, LLC</t>
  </si>
  <si>
    <t>500 Lindsay Street</t>
  </si>
  <si>
    <t>CHOO CHOO PARTNERS, LP</t>
  </si>
  <si>
    <t>HERITAGE-MACLELLAN APARTMENTS, LLC</t>
  </si>
  <si>
    <t>Agreement Notes</t>
  </si>
  <si>
    <t>Must reserve at least 20% of available units for lower income persons</t>
  </si>
  <si>
    <t>1400 Market Street (Building No. 2)</t>
  </si>
  <si>
    <t>90 apts contemplated plus retail space; must reserve at least 20% of available units for lower income persons</t>
  </si>
  <si>
    <t>64 units contemplated; must reserve at least 20% of available units for lower income persons</t>
  </si>
  <si>
    <t>715-16</t>
  </si>
  <si>
    <t>715-17</t>
  </si>
  <si>
    <t>VAN DE WIELE, INC</t>
  </si>
  <si>
    <t>1400 CHESTNUT LLC (KORE Company)</t>
  </si>
  <si>
    <t>710-4</t>
  </si>
  <si>
    <t>1109-52</t>
  </si>
  <si>
    <t>908-48</t>
  </si>
  <si>
    <t>308-51</t>
  </si>
  <si>
    <t>1015-20</t>
  </si>
  <si>
    <t>added 4120 Jersey Pike Property</t>
  </si>
  <si>
    <t>10260 McKee Drive and 10638 Apison Pike</t>
  </si>
  <si>
    <t>1015-54</t>
  </si>
  <si>
    <t>127D-B-001.15; Per 038690</t>
  </si>
  <si>
    <t>135E-N-004; Per 031069</t>
  </si>
  <si>
    <t>130-001-.33; Per 046992</t>
  </si>
  <si>
    <t>145D-B-008, 012; Per 045379</t>
  </si>
  <si>
    <t>146H-E-001; Per 045380</t>
  </si>
  <si>
    <t>127L-A-022.01; 023; 135F-A-005; 003; Per 046890</t>
  </si>
  <si>
    <t>YANFENG US AUTOMOTIVE INTERIOR SYSTEMS I LLC PROJECT</t>
  </si>
  <si>
    <t>116-27</t>
  </si>
  <si>
    <t>ECG CHESTNUT, LP</t>
  </si>
  <si>
    <t>2108 Chestnut Street</t>
  </si>
  <si>
    <t>1116-3</t>
  </si>
  <si>
    <t>174 one and two bedroom units for low income housing</t>
  </si>
  <si>
    <t>145E-P-005 L000; Per 047000</t>
  </si>
  <si>
    <t>138O-B-001.03; Per 047001</t>
  </si>
  <si>
    <t>132-002.13; Per 048602</t>
  </si>
  <si>
    <t>135M-G-008; Per 048858</t>
  </si>
  <si>
    <t>135M-B-008 L001; Per 043664</t>
  </si>
  <si>
    <t>721 Broad Street</t>
  </si>
  <si>
    <t>1216-31</t>
  </si>
  <si>
    <t>STANDARD COOSA LOFTS, LLC</t>
  </si>
  <si>
    <t>1216-8</t>
  </si>
  <si>
    <t>500 W. MLK Blvd</t>
  </si>
  <si>
    <t>100% of dwelling units will be for lower income households</t>
  </si>
  <si>
    <t>Investment Commitment</t>
  </si>
  <si>
    <t>CHATTANOOGA HOUSING AUTHORITY</t>
  </si>
  <si>
    <t>Renovation of Jaycee Towers for low to moderate income elderly tenants.</t>
  </si>
  <si>
    <t>BREAD FACTORY, LLC</t>
  </si>
  <si>
    <t>AMAZON.COM - COLE ID CHATT US REAL ESTATE</t>
  </si>
  <si>
    <t>BLUE CROSS BLUE SHIELD OF TN INC</t>
  </si>
  <si>
    <t>1 &amp; 23 Cameron Hill Cir &amp; 505 E MLK Blvd</t>
  </si>
  <si>
    <t>135N-B-005, 005.01, 005.02; Per 031074</t>
  </si>
  <si>
    <t>305-34</t>
  </si>
  <si>
    <t>HOMESERVE USA CORP</t>
  </si>
  <si>
    <t>517-30</t>
  </si>
  <si>
    <t>TSO CHATTANOOGA DEVELOPMENT, LP</t>
  </si>
  <si>
    <t>700 Market Street</t>
  </si>
  <si>
    <t>815-19</t>
  </si>
  <si>
    <t>125 residental rental units plus retail and office space and parking structure, must reserve at least 20% of available units for lower income persons</t>
  </si>
  <si>
    <t>6093 Relocation Way</t>
  </si>
  <si>
    <t>Combined commitments for this project and Map 139-074</t>
  </si>
  <si>
    <t>Combined commitments for this project and Per 040158</t>
  </si>
  <si>
    <t>145F-J-003; Per 048861</t>
  </si>
  <si>
    <t>145DA-D-010; Per 048428</t>
  </si>
  <si>
    <t>Per 050278</t>
  </si>
  <si>
    <t>7463 Bonnyshire Drive</t>
  </si>
  <si>
    <t>TAX INCREMENT FINANCING (TIF) AGREEMENTS</t>
  </si>
  <si>
    <t>Black Creek Mountain</t>
  </si>
  <si>
    <t>Martin Luther King Extension</t>
  </si>
  <si>
    <t>Development of associated Black Creek Mountain property</t>
  </si>
  <si>
    <t>Assessment on TIF Properties</t>
  </si>
  <si>
    <t>Property Tax without TIF Agreement</t>
  </si>
  <si>
    <t>Net Cost of TIF</t>
  </si>
  <si>
    <t>Property Taxes to City and County - base year of TIF</t>
  </si>
  <si>
    <t xml:space="preserve">Total </t>
  </si>
  <si>
    <t>612-27</t>
  </si>
  <si>
    <t>318-14</t>
  </si>
  <si>
    <t>1217-30</t>
  </si>
  <si>
    <t>ALCO WOODLAWN PARTNERS, LP   (BAYBERRY APARTMENTS DEVELOPMENT)</t>
  </si>
  <si>
    <t>2300 Wilson Street; 1101 Arlington Avenue and 2300 Windsor Street</t>
  </si>
  <si>
    <t>RIDGEWAY HOUSING PARTNERS, L.P.</t>
  </si>
  <si>
    <t>1018-4</t>
  </si>
  <si>
    <t>1230 Poplar Street</t>
  </si>
  <si>
    <t>120 one, two and three bedroom units, multifamily, low income housing tax credit apartment project</t>
  </si>
  <si>
    <t>2018 City taxes billed</t>
  </si>
  <si>
    <t>2018 County taxes billed</t>
  </si>
  <si>
    <t>2018 School taxes billed</t>
  </si>
  <si>
    <t xml:space="preserve">130-001.25; Per 038692;       </t>
  </si>
  <si>
    <t>145CB-A-005; Per 051475</t>
  </si>
  <si>
    <t>141-033 L000; Per 10052016</t>
  </si>
  <si>
    <t xml:space="preserve">2018 City </t>
  </si>
  <si>
    <t>2018 County</t>
  </si>
  <si>
    <t>2018 School</t>
  </si>
  <si>
    <t>NOTE: PILOT agreements for companies shaded in BLUE have been approved by each of the County and City legislative bodies, but the agreements have not become effective as of Tax Year 2018.</t>
  </si>
  <si>
    <t>M&amp;M INDUSTRIES, INC</t>
  </si>
  <si>
    <t>1435 East 14th Street and 316 Corporate Place</t>
  </si>
  <si>
    <t>1117-27</t>
  </si>
  <si>
    <t>146O-C-001 L000;                154-009.09L000</t>
  </si>
  <si>
    <t>146D-A-001; 146D-A-009;  146D-D-003</t>
  </si>
  <si>
    <t>RIVERVIEW HOUSING ASSOCIATES, L.P.  (JAYCEE TOWER)</t>
  </si>
  <si>
    <t>GESTAMP CHATTANOOGA LLC (II)</t>
  </si>
  <si>
    <t>145C-B-007; Per 10052783</t>
  </si>
  <si>
    <t>130-001.34; Per 048704</t>
  </si>
  <si>
    <t>130-001.26; 138I-A-003;        Per 049271; Per 048703</t>
  </si>
  <si>
    <t>PATTEN AFFORDABLE PARTNERS, LP</t>
  </si>
  <si>
    <t>119-16</t>
  </si>
  <si>
    <t>1 East 11th Street</t>
  </si>
  <si>
    <t>Market Street</t>
  </si>
  <si>
    <t>43 new and 270 retained jobs</t>
  </si>
  <si>
    <t>City will receive Stormwater Fee, and HCDE will receive 100% of School tax due less City Stormwater Fee.</t>
  </si>
  <si>
    <t>Retain 210; 50 new</t>
  </si>
  <si>
    <t xml:space="preserve"> Minimum jobs requirement - 260</t>
  </si>
  <si>
    <t>Admin. Fee</t>
  </si>
  <si>
    <t>1700 &amp; 1800 South Watkins Street</t>
  </si>
  <si>
    <t>PILOT is on improvements to property only; company is paying regular taxes on property itself.  Company sent letter ending agreement as of the end of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</si>
</sst>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_(* #,##0.0000_);_(* \(#,##0.0000\);_(* &quot;-&quot;_);_(@_)"/>
    <numFmt numFmtId="166" formatCode="_(* #,##0.0000_);_(* \(#,##0.0000\);_(* &quot;-&quot;??_);_(@_)"/>
    <numFmt numFmtId="167" formatCode="_(* #,##0_);_(* \(#,##0\);_(* &quot;-&quot;??_);_(@_)"/>
  </numFmts>
  <fonts count="19" x14ac:knownFonts="1">
    <font>
      <sz val="10"/>
      <name val="Arial"/>
    </font>
    <font>
      <b/>
      <sz val="10"/>
      <name val="Arial"/>
      <family val="2"/>
    </font>
    <font>
      <b/>
      <u/>
      <sz val="10"/>
      <name val="Arial"/>
      <family val="2"/>
    </font>
    <font>
      <b/>
      <u/>
      <sz val="10"/>
      <name val="Arial"/>
      <family val="2"/>
    </font>
    <font>
      <sz val="10"/>
      <color rgb="FF000000"/>
      <name val="Arial"/>
      <family val="2"/>
    </font>
    <font>
      <sz val="10"/>
      <name val="Arial"/>
      <family val="2"/>
    </font>
    <font>
      <b/>
      <u/>
      <sz val="10"/>
      <name val="Arial"/>
      <family val="2"/>
    </font>
    <font>
      <b/>
      <sz val="10"/>
      <name val="Arial"/>
      <family val="2"/>
    </font>
    <font>
      <i/>
      <sz val="10"/>
      <name val="Arial"/>
      <family val="2"/>
    </font>
    <font>
      <b/>
      <u/>
      <sz val="14"/>
      <name val="Arial"/>
      <family val="2"/>
    </font>
    <font>
      <u/>
      <sz val="10"/>
      <color theme="10"/>
      <name val="Arial"/>
      <family val="2"/>
    </font>
    <font>
      <b/>
      <sz val="10"/>
      <color rgb="FF000000"/>
      <name val="Arial"/>
      <family val="2"/>
    </font>
    <font>
      <u/>
      <sz val="10"/>
      <color theme="10"/>
      <name val="Arial"/>
      <family val="2"/>
    </font>
    <font>
      <sz val="9"/>
      <name val="Arial"/>
      <family val="2"/>
    </font>
    <font>
      <b/>
      <sz val="10"/>
      <color rgb="FFFF0000"/>
      <name val="Arial"/>
      <family val="2"/>
    </font>
    <font>
      <sz val="10"/>
      <name val="Arial"/>
      <family val="2"/>
    </font>
    <font>
      <sz val="10"/>
      <name val="Arial"/>
      <family val="2"/>
    </font>
    <font>
      <u/>
      <sz val="10"/>
      <color rgb="FFFF0000"/>
      <name val="Arial"/>
      <family val="2"/>
    </font>
    <font>
      <u/>
      <sz val="10"/>
      <name val="Arial"/>
      <family val="2"/>
    </font>
  </fonts>
  <fills count="13">
    <fill>
      <patternFill patternType="none"/>
    </fill>
    <fill>
      <patternFill patternType="gray125"/>
    </fill>
    <fill>
      <patternFill patternType="solid">
        <fgColor rgb="FFF9CB9C"/>
        <bgColor rgb="FFF9CB9C"/>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79998168889431442"/>
        <bgColor rgb="FFFFD966"/>
      </patternFill>
    </fill>
    <fill>
      <patternFill patternType="solid">
        <fgColor theme="5" tint="0.79998168889431442"/>
        <bgColor rgb="FFF9CB9C"/>
      </patternFill>
    </fill>
    <fill>
      <patternFill patternType="solid">
        <fgColor theme="3" tint="0.79998168889431442"/>
        <bgColor indexed="64"/>
      </patternFill>
    </fill>
    <fill>
      <patternFill patternType="solid">
        <fgColor theme="3" tint="0.79998168889431442"/>
        <bgColor rgb="FFFFD966"/>
      </patternFill>
    </fill>
    <fill>
      <patternFill patternType="solid">
        <fgColor theme="3" tint="0.79998168889431442"/>
        <bgColor rgb="FFF9CB9C"/>
      </patternFill>
    </fill>
    <fill>
      <patternFill patternType="solid">
        <fgColor rgb="FFFF0000"/>
        <bgColor indexed="64"/>
      </patternFill>
    </fill>
    <fill>
      <patternFill patternType="solid">
        <fgColor theme="8" tint="0.59999389629810485"/>
        <bgColor indexed="64"/>
      </patternFill>
    </fill>
    <fill>
      <patternFill patternType="solid">
        <fgColor theme="8" tint="0.59999389629810485"/>
        <bgColor rgb="FFF9CB9C"/>
      </patternFill>
    </fill>
  </fills>
  <borders count="8">
    <border>
      <left/>
      <right/>
      <top/>
      <bottom/>
      <diagonal/>
    </border>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s>
  <cellStyleXfs count="9">
    <xf numFmtId="0" fontId="0" fillId="0" borderId="0"/>
    <xf numFmtId="0" fontId="10" fillId="0" borderId="1" applyNumberFormat="0" applyFill="0" applyBorder="0" applyAlignment="0" applyProtection="0"/>
    <xf numFmtId="0" fontId="10" fillId="0" borderId="1" applyNumberFormat="0" applyFill="0" applyBorder="0" applyAlignment="0" applyProtection="0"/>
    <xf numFmtId="0" fontId="5" fillId="0" borderId="1"/>
    <xf numFmtId="0" fontId="12" fillId="0" borderId="0" applyNumberFormat="0" applyFill="0" applyBorder="0" applyAlignment="0" applyProtection="0"/>
    <xf numFmtId="43" fontId="15" fillId="0" borderId="0" applyFont="0" applyFill="0" applyBorder="0" applyAlignment="0" applyProtection="0"/>
    <xf numFmtId="44" fontId="16" fillId="0" borderId="0" applyFont="0" applyFill="0" applyBorder="0" applyAlignment="0" applyProtection="0"/>
    <xf numFmtId="0" fontId="16" fillId="0" borderId="1"/>
    <xf numFmtId="0" fontId="16" fillId="0" borderId="1"/>
  </cellStyleXfs>
  <cellXfs count="364">
    <xf numFmtId="0" fontId="0" fillId="0" borderId="0" xfId="0"/>
    <xf numFmtId="41" fontId="0" fillId="0" borderId="0" xfId="0" applyNumberFormat="1"/>
    <xf numFmtId="165" fontId="8" fillId="0" borderId="0" xfId="0" applyNumberFormat="1" applyFont="1" applyFill="1"/>
    <xf numFmtId="41" fontId="0" fillId="0" borderId="0" xfId="0" applyNumberFormat="1" applyFill="1"/>
    <xf numFmtId="165" fontId="8" fillId="0" borderId="1" xfId="0" applyNumberFormat="1" applyFont="1" applyFill="1" applyBorder="1"/>
    <xf numFmtId="41" fontId="7" fillId="0" borderId="1" xfId="0" applyNumberFormat="1" applyFont="1" applyFill="1" applyBorder="1" applyAlignment="1">
      <alignment horizontal="centerContinuous"/>
    </xf>
    <xf numFmtId="41" fontId="0" fillId="0" borderId="1" xfId="0" applyNumberFormat="1" applyFill="1" applyBorder="1"/>
    <xf numFmtId="41" fontId="7" fillId="3" borderId="2" xfId="0" applyNumberFormat="1" applyFont="1" applyFill="1" applyBorder="1" applyAlignment="1">
      <alignment horizontal="centerContinuous"/>
    </xf>
    <xf numFmtId="0" fontId="2" fillId="0" borderId="1" xfId="0" applyFont="1" applyBorder="1" applyAlignment="1">
      <alignment horizontal="center" wrapText="1"/>
    </xf>
    <xf numFmtId="41" fontId="2" fillId="0" borderId="1" xfId="0" applyNumberFormat="1" applyFont="1" applyBorder="1" applyAlignment="1">
      <alignment horizontal="center" wrapText="1"/>
    </xf>
    <xf numFmtId="41" fontId="2" fillId="3" borderId="1" xfId="0" applyNumberFormat="1" applyFont="1" applyFill="1" applyBorder="1" applyAlignment="1">
      <alignment horizontal="center" wrapText="1"/>
    </xf>
    <xf numFmtId="41" fontId="6" fillId="3" borderId="1" xfId="0" applyNumberFormat="1" applyFont="1" applyFill="1" applyBorder="1" applyAlignment="1">
      <alignment horizontal="center" wrapText="1"/>
    </xf>
    <xf numFmtId="41" fontId="2" fillId="0" borderId="1" xfId="0" applyNumberFormat="1" applyFont="1" applyFill="1" applyBorder="1" applyAlignment="1">
      <alignment horizontal="center" wrapText="1"/>
    </xf>
    <xf numFmtId="41" fontId="2" fillId="5" borderId="1" xfId="0" applyNumberFormat="1" applyFont="1" applyFill="1" applyBorder="1" applyAlignment="1">
      <alignment horizontal="center" wrapText="1"/>
    </xf>
    <xf numFmtId="14" fontId="2" fillId="0" borderId="1" xfId="0" applyNumberFormat="1" applyFont="1" applyBorder="1" applyAlignment="1">
      <alignment horizontal="center" wrapText="1"/>
    </xf>
    <xf numFmtId="0" fontId="0" fillId="0" borderId="0" xfId="0" applyAlignment="1">
      <alignment wrapText="1"/>
    </xf>
    <xf numFmtId="0" fontId="2" fillId="0" borderId="1" xfId="0" applyFont="1" applyFill="1" applyBorder="1" applyAlignment="1">
      <alignment horizontal="center" wrapText="1"/>
    </xf>
    <xf numFmtId="14" fontId="2" fillId="0" borderId="1" xfId="0" applyNumberFormat="1" applyFont="1" applyFill="1" applyBorder="1" applyAlignment="1">
      <alignment horizontal="center" wrapText="1"/>
    </xf>
    <xf numFmtId="41" fontId="6" fillId="0" borderId="1" xfId="0" applyNumberFormat="1" applyFont="1" applyFill="1" applyBorder="1" applyAlignment="1">
      <alignment horizontal="center" wrapText="1"/>
    </xf>
    <xf numFmtId="0" fontId="0" fillId="0" borderId="0" xfId="0" applyFill="1" applyAlignment="1">
      <alignment wrapText="1"/>
    </xf>
    <xf numFmtId="0" fontId="9" fillId="0" borderId="1" xfId="0" applyFont="1" applyFill="1" applyBorder="1" applyAlignment="1">
      <alignment horizontal="left"/>
    </xf>
    <xf numFmtId="41" fontId="2" fillId="8" borderId="1" xfId="0" applyNumberFormat="1" applyFont="1" applyFill="1" applyBorder="1" applyAlignment="1">
      <alignment horizontal="center" wrapText="1"/>
    </xf>
    <xf numFmtId="0" fontId="0" fillId="0" borderId="0" xfId="0" applyFill="1"/>
    <xf numFmtId="41" fontId="11" fillId="4" borderId="3" xfId="0" applyNumberFormat="1" applyFont="1" applyFill="1" applyBorder="1" applyAlignment="1">
      <alignment horizontal="center"/>
    </xf>
    <xf numFmtId="0" fontId="2" fillId="10" borderId="1" xfId="0" applyFont="1" applyFill="1" applyBorder="1" applyAlignment="1">
      <alignment horizontal="center" wrapText="1"/>
    </xf>
    <xf numFmtId="41" fontId="11" fillId="7" borderId="3" xfId="0" applyNumberFormat="1" applyFont="1" applyFill="1" applyBorder="1" applyAlignment="1">
      <alignment horizontal="center"/>
    </xf>
    <xf numFmtId="41" fontId="11" fillId="3" borderId="3" xfId="0" applyNumberFormat="1" applyFont="1" applyFill="1" applyBorder="1" applyAlignment="1">
      <alignment horizontal="center"/>
    </xf>
    <xf numFmtId="0" fontId="0" fillId="0" borderId="0" xfId="0" applyAlignment="1">
      <alignment horizontal="left"/>
    </xf>
    <xf numFmtId="0" fontId="2" fillId="0" borderId="1" xfId="0" applyFont="1" applyFill="1" applyBorder="1" applyAlignment="1">
      <alignment horizontal="left" wrapText="1"/>
    </xf>
    <xf numFmtId="0" fontId="0" fillId="0" borderId="0" xfId="0" applyFill="1" applyAlignment="1">
      <alignment horizontal="left"/>
    </xf>
    <xf numFmtId="5" fontId="2" fillId="0" borderId="1" xfId="0" applyNumberFormat="1" applyFont="1" applyFill="1" applyBorder="1" applyAlignment="1">
      <alignment horizontal="center" wrapText="1"/>
    </xf>
    <xf numFmtId="0" fontId="0" fillId="0" borderId="0" xfId="0" applyFill="1" applyAlignment="1">
      <alignment horizontal="left" wrapText="1"/>
    </xf>
    <xf numFmtId="5" fontId="0" fillId="0" borderId="0" xfId="0" applyNumberFormat="1" applyAlignment="1">
      <alignment horizontal="center"/>
    </xf>
    <xf numFmtId="5" fontId="0" fillId="0" borderId="0" xfId="0" applyNumberFormat="1" applyFill="1" applyAlignment="1">
      <alignment horizontal="center"/>
    </xf>
    <xf numFmtId="41" fontId="14" fillId="0" borderId="0" xfId="0" applyNumberFormat="1" applyFont="1" applyFill="1"/>
    <xf numFmtId="43" fontId="2" fillId="0" borderId="1" xfId="0" applyNumberFormat="1" applyFont="1" applyFill="1" applyBorder="1" applyAlignment="1">
      <alignment horizontal="center" wrapText="1"/>
    </xf>
    <xf numFmtId="41" fontId="1" fillId="0" borderId="1" xfId="0" applyNumberFormat="1" applyFont="1" applyFill="1" applyBorder="1" applyAlignment="1">
      <alignment horizontal="center"/>
    </xf>
    <xf numFmtId="0" fontId="0" fillId="0" borderId="0" xfId="0" applyFill="1" applyAlignment="1">
      <alignment horizontal="center"/>
    </xf>
    <xf numFmtId="41" fontId="0" fillId="0" borderId="1" xfId="0" applyNumberFormat="1" applyFill="1" applyBorder="1" applyAlignment="1">
      <alignment horizontal="center"/>
    </xf>
    <xf numFmtId="0" fontId="0" fillId="11" borderId="0" xfId="0" applyFill="1" applyAlignment="1"/>
    <xf numFmtId="0" fontId="5" fillId="0" borderId="5" xfId="0" applyFont="1" applyFill="1" applyBorder="1" applyAlignment="1">
      <alignment vertical="top" wrapText="1"/>
    </xf>
    <xf numFmtId="0" fontId="5" fillId="0" borderId="5" xfId="0" applyFont="1" applyBorder="1" applyAlignment="1">
      <alignment vertical="top"/>
    </xf>
    <xf numFmtId="0" fontId="5" fillId="0" borderId="5" xfId="0" applyFont="1" applyBorder="1" applyAlignment="1">
      <alignment horizontal="center" vertical="top"/>
    </xf>
    <xf numFmtId="0" fontId="5" fillId="0" borderId="5" xfId="0" applyFont="1" applyBorder="1" applyAlignment="1">
      <alignment horizontal="center" vertical="top" wrapText="1"/>
    </xf>
    <xf numFmtId="14" fontId="5" fillId="0" borderId="5" xfId="0" applyNumberFormat="1" applyFont="1" applyBorder="1" applyAlignment="1">
      <alignment horizontal="center" vertical="top"/>
    </xf>
    <xf numFmtId="14" fontId="10" fillId="0" borderId="5" xfId="2" applyNumberFormat="1" applyBorder="1" applyAlignment="1">
      <alignment horizontal="center" vertical="top"/>
    </xf>
    <xf numFmtId="41" fontId="5" fillId="0" borderId="5" xfId="0" applyNumberFormat="1" applyFont="1" applyFill="1" applyBorder="1" applyAlignment="1">
      <alignment horizontal="center" vertical="top"/>
    </xf>
    <xf numFmtId="0" fontId="5" fillId="0" borderId="5" xfId="0" applyFont="1" applyFill="1" applyBorder="1" applyAlignment="1">
      <alignment horizontal="center" vertical="top"/>
    </xf>
    <xf numFmtId="3" fontId="5" fillId="0" borderId="5" xfId="0" applyNumberFormat="1" applyFont="1" applyBorder="1" applyAlignment="1">
      <alignment horizontal="right" vertical="top"/>
    </xf>
    <xf numFmtId="5" fontId="5" fillId="0" borderId="5" xfId="0" applyNumberFormat="1" applyFont="1" applyFill="1" applyBorder="1" applyAlignment="1">
      <alignment horizontal="center" vertical="top" wrapText="1"/>
    </xf>
    <xf numFmtId="164" fontId="5" fillId="0" borderId="5" xfId="0" applyNumberFormat="1" applyFont="1" applyFill="1" applyBorder="1" applyAlignment="1">
      <alignment horizontal="left" vertical="top" wrapText="1"/>
    </xf>
    <xf numFmtId="41" fontId="5" fillId="0" borderId="5" xfId="0" applyNumberFormat="1" applyFont="1" applyBorder="1" applyAlignment="1">
      <alignment horizontal="center" vertical="top"/>
    </xf>
    <xf numFmtId="41" fontId="5" fillId="3" borderId="5" xfId="0" applyNumberFormat="1" applyFont="1" applyFill="1" applyBorder="1" applyAlignment="1">
      <alignment horizontal="center" vertical="top"/>
    </xf>
    <xf numFmtId="41" fontId="5" fillId="7" borderId="5" xfId="0" applyNumberFormat="1" applyFont="1" applyFill="1" applyBorder="1" applyAlignment="1">
      <alignment horizontal="center" vertical="top"/>
    </xf>
    <xf numFmtId="41" fontId="5" fillId="9" borderId="5"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4" fillId="6" borderId="5" xfId="0" applyNumberFormat="1" applyFont="1" applyFill="1" applyBorder="1" applyAlignment="1">
      <alignment horizontal="center" vertical="top"/>
    </xf>
    <xf numFmtId="41" fontId="4" fillId="6" borderId="5" xfId="5" applyNumberFormat="1" applyFont="1" applyFill="1" applyBorder="1" applyAlignment="1">
      <alignment horizontal="center" vertical="top"/>
    </xf>
    <xf numFmtId="0" fontId="5" fillId="0" borderId="0" xfId="0" applyFont="1" applyAlignment="1">
      <alignment vertical="top"/>
    </xf>
    <xf numFmtId="0" fontId="5" fillId="0" borderId="6" xfId="0" applyFont="1" applyFill="1" applyBorder="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xf>
    <xf numFmtId="0" fontId="5" fillId="0" borderId="6" xfId="0" applyFont="1" applyBorder="1" applyAlignment="1">
      <alignment horizontal="center" vertical="top" wrapText="1"/>
    </xf>
    <xf numFmtId="14" fontId="5" fillId="0" borderId="6" xfId="0" applyNumberFormat="1" applyFont="1" applyBorder="1" applyAlignment="1">
      <alignment horizontal="center" vertical="top"/>
    </xf>
    <xf numFmtId="14" fontId="10" fillId="0" borderId="6" xfId="2" applyNumberForma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3" fontId="5" fillId="0" borderId="6" xfId="0" applyNumberFormat="1" applyFont="1" applyBorder="1" applyAlignment="1">
      <alignment horizontal="right" vertical="top" wrapText="1"/>
    </xf>
    <xf numFmtId="5" fontId="5" fillId="0" borderId="6" xfId="0" applyNumberFormat="1" applyFont="1" applyFill="1" applyBorder="1" applyAlignment="1">
      <alignment horizontal="center" vertical="top" wrapText="1"/>
    </xf>
    <xf numFmtId="164" fontId="5" fillId="0" borderId="6" xfId="0" applyNumberFormat="1" applyFont="1" applyFill="1" applyBorder="1" applyAlignment="1">
      <alignment horizontal="left" vertical="top" wrapText="1"/>
    </xf>
    <xf numFmtId="41"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0" fontId="5" fillId="0" borderId="6" xfId="0" applyFont="1" applyBorder="1" applyAlignment="1">
      <alignment horizontal="right" vertical="top" wrapText="1"/>
    </xf>
    <xf numFmtId="167" fontId="5" fillId="9" borderId="6" xfId="0" applyNumberFormat="1" applyFont="1" applyFill="1" applyBorder="1" applyAlignment="1">
      <alignment horizontal="center" vertical="top"/>
    </xf>
    <xf numFmtId="167" fontId="5" fillId="7" borderId="6" xfId="0" applyNumberFormat="1" applyFont="1" applyFill="1" applyBorder="1" applyAlignment="1">
      <alignment horizontal="center" vertical="top"/>
    </xf>
    <xf numFmtId="0" fontId="5" fillId="0" borderId="1" xfId="0" applyFont="1" applyFill="1" applyBorder="1" applyAlignment="1">
      <alignment vertical="top" wrapText="1"/>
    </xf>
    <xf numFmtId="0" fontId="5" fillId="0" borderId="1" xfId="0" applyFont="1" applyBorder="1" applyAlignment="1">
      <alignment vertical="top"/>
    </xf>
    <xf numFmtId="0" fontId="5" fillId="0" borderId="1" xfId="0" applyFont="1" applyBorder="1" applyAlignment="1">
      <alignment horizontal="center" vertical="top"/>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xf>
    <xf numFmtId="14" fontId="10" fillId="0" borderId="1" xfId="2" applyNumberFormat="1" applyBorder="1" applyAlignment="1">
      <alignment horizontal="center" vertical="top"/>
    </xf>
    <xf numFmtId="41" fontId="5" fillId="0" borderId="1" xfId="0" applyNumberFormat="1" applyFont="1" applyFill="1" applyBorder="1" applyAlignment="1">
      <alignment horizontal="center" vertical="top"/>
    </xf>
    <xf numFmtId="0" fontId="4" fillId="0" borderId="1" xfId="0" applyFont="1" applyBorder="1" applyAlignment="1">
      <alignment horizontal="center" vertical="top"/>
    </xf>
    <xf numFmtId="14" fontId="4" fillId="0" borderId="1" xfId="0" applyNumberFormat="1" applyFont="1" applyBorder="1" applyAlignment="1">
      <alignment horizontal="center" vertical="top"/>
    </xf>
    <xf numFmtId="14" fontId="10" fillId="0" borderId="1" xfId="2" applyNumberFormat="1" applyFill="1" applyBorder="1" applyAlignment="1">
      <alignment horizontal="center" vertical="top"/>
    </xf>
    <xf numFmtId="0" fontId="4" fillId="0" borderId="1" xfId="0" applyFont="1" applyFill="1" applyBorder="1" applyAlignment="1">
      <alignment horizontal="center" vertical="top"/>
    </xf>
    <xf numFmtId="0" fontId="5" fillId="0" borderId="1" xfId="0" applyFont="1" applyBorder="1" applyAlignment="1">
      <alignment horizontal="right" vertical="top" wrapText="1"/>
    </xf>
    <xf numFmtId="5"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41" fontId="4" fillId="0" borderId="1" xfId="0" applyNumberFormat="1" applyFont="1" applyBorder="1" applyAlignment="1">
      <alignment horizontal="center" vertical="top" wrapText="1"/>
    </xf>
    <xf numFmtId="41" fontId="5" fillId="3" borderId="1" xfId="0" applyNumberFormat="1" applyFont="1" applyFill="1" applyBorder="1" applyAlignment="1">
      <alignment horizontal="center" vertical="top"/>
    </xf>
    <xf numFmtId="167" fontId="5" fillId="7" borderId="1" xfId="0" applyNumberFormat="1" applyFont="1" applyFill="1" applyBorder="1" applyAlignment="1">
      <alignment horizontal="center" vertical="top"/>
    </xf>
    <xf numFmtId="41" fontId="5" fillId="7"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0" fontId="5" fillId="0" borderId="6" xfId="0" applyFont="1" applyBorder="1" applyAlignment="1">
      <alignment horizontal="right" vertical="top"/>
    </xf>
    <xf numFmtId="41" fontId="5" fillId="0" borderId="6" xfId="0" applyNumberFormat="1" applyFont="1" applyFill="1" applyBorder="1" applyAlignment="1">
      <alignment horizontal="center" vertical="top" wrapText="1"/>
    </xf>
    <xf numFmtId="41" fontId="4" fillId="9" borderId="6" xfId="0" applyNumberFormat="1" applyFont="1" applyFill="1" applyBorder="1" applyAlignment="1">
      <alignment horizontal="center" vertical="top"/>
    </xf>
    <xf numFmtId="14" fontId="5" fillId="0" borderId="6" xfId="0" applyNumberFormat="1" applyFont="1" applyFill="1" applyBorder="1" applyAlignment="1">
      <alignment horizontal="center" vertical="top"/>
    </xf>
    <xf numFmtId="0" fontId="5" fillId="2" borderId="6" xfId="0" applyFont="1" applyFill="1" applyBorder="1" applyAlignment="1">
      <alignment horizontal="center" vertical="top"/>
    </xf>
    <xf numFmtId="0" fontId="5" fillId="11" borderId="6" xfId="0" applyFont="1" applyFill="1" applyBorder="1" applyAlignment="1">
      <alignment vertical="top" wrapText="1"/>
    </xf>
    <xf numFmtId="0" fontId="5" fillId="11" borderId="6" xfId="0" applyFont="1" applyFill="1" applyBorder="1" applyAlignment="1">
      <alignment vertical="top"/>
    </xf>
    <xf numFmtId="0" fontId="5" fillId="11" borderId="6" xfId="0" applyFont="1" applyFill="1" applyBorder="1" applyAlignment="1">
      <alignment horizontal="center" vertical="top"/>
    </xf>
    <xf numFmtId="0" fontId="5" fillId="11" borderId="6" xfId="0" applyFont="1" applyFill="1" applyBorder="1" applyAlignment="1">
      <alignment horizontal="center" vertical="top" wrapText="1"/>
    </xf>
    <xf numFmtId="14" fontId="12" fillId="0" borderId="6" xfId="4" applyNumberFormat="1" applyBorder="1" applyAlignment="1">
      <alignment horizontal="center" vertical="top"/>
    </xf>
    <xf numFmtId="14" fontId="5" fillId="0" borderId="6" xfId="0" applyNumberFormat="1" applyFont="1" applyBorder="1" applyAlignment="1">
      <alignment horizontal="center" vertical="top" wrapText="1"/>
    </xf>
    <xf numFmtId="41" fontId="5" fillId="9" borderId="6" xfId="0" quotePrefix="1" applyNumberFormat="1" applyFont="1" applyFill="1" applyBorder="1" applyAlignment="1">
      <alignment horizontal="center" vertical="top"/>
    </xf>
    <xf numFmtId="166" fontId="5" fillId="0" borderId="0" xfId="0" applyNumberFormat="1" applyFont="1" applyAlignment="1">
      <alignment vertical="top"/>
    </xf>
    <xf numFmtId="44" fontId="5" fillId="0" borderId="0" xfId="6" applyFont="1" applyAlignment="1">
      <alignment vertical="top"/>
    </xf>
    <xf numFmtId="0" fontId="4" fillId="0" borderId="6" xfId="0" applyFont="1" applyFill="1" applyBorder="1" applyAlignment="1">
      <alignment horizontal="left" vertical="top" wrapText="1"/>
    </xf>
    <xf numFmtId="3" fontId="5" fillId="0" borderId="6" xfId="0" applyNumberFormat="1" applyFont="1" applyBorder="1" applyAlignment="1">
      <alignment horizontal="right" vertical="top"/>
    </xf>
    <xf numFmtId="0" fontId="9" fillId="0" borderId="6" xfId="0" applyFont="1" applyFill="1" applyBorder="1" applyAlignment="1">
      <alignment horizontal="left" vertical="top"/>
    </xf>
    <xf numFmtId="0" fontId="2" fillId="0" borderId="6" xfId="0" applyFont="1" applyFill="1" applyBorder="1" applyAlignment="1">
      <alignment horizontal="center" vertical="top" wrapText="1"/>
    </xf>
    <xf numFmtId="14" fontId="2" fillId="0" borderId="6" xfId="0" applyNumberFormat="1" applyFont="1" applyFill="1" applyBorder="1" applyAlignment="1">
      <alignment horizontal="center" vertical="top" wrapText="1"/>
    </xf>
    <xf numFmtId="41" fontId="2" fillId="0" borderId="6" xfId="0" applyNumberFormat="1" applyFont="1" applyFill="1" applyBorder="1" applyAlignment="1">
      <alignment horizontal="center" vertical="top" wrapText="1"/>
    </xf>
    <xf numFmtId="5" fontId="2" fillId="0" borderId="6" xfId="0"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41" fontId="6" fillId="0" borderId="6" xfId="0" applyNumberFormat="1" applyFont="1" applyFill="1" applyBorder="1" applyAlignment="1">
      <alignment horizontal="center" vertical="top" wrapText="1"/>
    </xf>
    <xf numFmtId="41" fontId="3" fillId="0" borderId="6" xfId="0" applyNumberFormat="1" applyFont="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5" fillId="0" borderId="6" xfId="0" applyFont="1" applyFill="1" applyBorder="1" applyAlignment="1">
      <alignment horizontal="left" vertical="top" wrapText="1"/>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7" xfId="0" applyNumberFormat="1" applyFont="1" applyFill="1" applyBorder="1" applyAlignment="1">
      <alignment horizontal="center" vertical="top"/>
    </xf>
    <xf numFmtId="0" fontId="5" fillId="0" borderId="7" xfId="0" applyFont="1" applyBorder="1" applyAlignment="1">
      <alignment horizontal="center" vertical="top" wrapText="1"/>
    </xf>
    <xf numFmtId="14" fontId="5" fillId="0" borderId="7" xfId="0" applyNumberFormat="1" applyFont="1" applyBorder="1" applyAlignment="1">
      <alignment horizontal="center" vertical="top" wrapText="1"/>
    </xf>
    <xf numFmtId="14" fontId="12" fillId="0" borderId="7" xfId="4" applyNumberFormat="1" applyBorder="1" applyAlignment="1">
      <alignment horizontal="center" vertical="top"/>
    </xf>
    <xf numFmtId="0" fontId="5" fillId="0" borderId="6" xfId="0" applyFont="1" applyFill="1" applyBorder="1" applyAlignment="1">
      <alignment horizontal="center" vertical="top"/>
    </xf>
    <xf numFmtId="164" fontId="5" fillId="0" borderId="7" xfId="0" applyNumberFormat="1" applyFont="1" applyFill="1" applyBorder="1" applyAlignment="1">
      <alignment horizontal="left" vertical="top" wrapText="1"/>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14" fontId="5" fillId="0" borderId="5" xfId="0" applyNumberFormat="1" applyFont="1" applyBorder="1" applyAlignment="1">
      <alignment horizontal="center" vertical="top" wrapText="1"/>
    </xf>
    <xf numFmtId="14" fontId="12" fillId="0" borderId="5" xfId="4" applyNumberFormat="1" applyBorder="1" applyAlignment="1">
      <alignment horizontal="center" vertical="top"/>
    </xf>
    <xf numFmtId="0" fontId="5" fillId="0" borderId="7" xfId="0" applyFont="1" applyBorder="1" applyAlignment="1">
      <alignment horizontal="center" vertical="top"/>
    </xf>
    <xf numFmtId="14" fontId="5" fillId="0" borderId="7" xfId="0" applyNumberFormat="1" applyFont="1" applyBorder="1" applyAlignment="1">
      <alignment horizontal="center" vertical="top"/>
    </xf>
    <xf numFmtId="41" fontId="5" fillId="0" borderId="7" xfId="0" applyNumberFormat="1" applyFont="1" applyFill="1" applyBorder="1" applyAlignment="1">
      <alignment vertical="top"/>
    </xf>
    <xf numFmtId="41" fontId="5" fillId="0" borderId="5" xfId="0" applyNumberFormat="1" applyFont="1" applyFill="1" applyBorder="1" applyAlignment="1">
      <alignment vertical="top"/>
    </xf>
    <xf numFmtId="0" fontId="5" fillId="0" borderId="6" xfId="0" applyFont="1" applyFill="1" applyBorder="1" applyAlignment="1">
      <alignment horizontal="right"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3" fontId="5" fillId="0" borderId="0" xfId="0" applyNumberFormat="1" applyFont="1" applyAlignment="1">
      <alignment vertical="top"/>
    </xf>
    <xf numFmtId="0" fontId="5" fillId="0" borderId="6" xfId="0" applyFont="1" applyFill="1" applyBorder="1" applyAlignment="1">
      <alignment vertical="top"/>
    </xf>
    <xf numFmtId="5" fontId="5" fillId="0" borderId="6" xfId="0" applyNumberFormat="1" applyFont="1" applyBorder="1" applyAlignment="1">
      <alignment horizontal="center" vertical="top"/>
    </xf>
    <xf numFmtId="0" fontId="5" fillId="0" borderId="6" xfId="0" applyFont="1" applyBorder="1" applyAlignment="1">
      <alignment horizontal="left" vertical="top" wrapText="1"/>
    </xf>
    <xf numFmtId="41" fontId="5" fillId="0" borderId="6" xfId="0" applyNumberFormat="1" applyFont="1" applyBorder="1" applyAlignment="1">
      <alignment vertical="top"/>
    </xf>
    <xf numFmtId="167" fontId="4" fillId="9" borderId="6" xfId="0" applyNumberFormat="1" applyFont="1" applyFill="1" applyBorder="1" applyAlignment="1">
      <alignment horizontal="center" vertical="top"/>
    </xf>
    <xf numFmtId="0" fontId="5" fillId="0" borderId="6" xfId="0" applyFont="1" applyFill="1" applyBorder="1" applyAlignment="1">
      <alignment horizontal="center" vertical="top" wrapText="1"/>
    </xf>
    <xf numFmtId="14" fontId="5" fillId="0" borderId="6" xfId="0" applyNumberFormat="1" applyFont="1" applyFill="1" applyBorder="1" applyAlignment="1">
      <alignment horizontal="center" vertical="top" wrapText="1"/>
    </xf>
    <xf numFmtId="41" fontId="13" fillId="0" borderId="6" xfId="0" applyNumberFormat="1" applyFont="1" applyBorder="1" applyAlignment="1">
      <alignment horizontal="left" vertical="top" wrapText="1"/>
    </xf>
    <xf numFmtId="41" fontId="5" fillId="7" borderId="6" xfId="0" applyNumberFormat="1" applyFont="1" applyFill="1" applyBorder="1" applyAlignment="1">
      <alignment horizontal="center" vertical="top" wrapText="1"/>
    </xf>
    <xf numFmtId="0" fontId="5" fillId="0" borderId="0" xfId="0" applyFont="1" applyFill="1" applyAlignment="1">
      <alignment vertical="top" wrapText="1"/>
    </xf>
    <xf numFmtId="0" fontId="5" fillId="0" borderId="6" xfId="0" applyFont="1" applyFill="1" applyBorder="1" applyAlignment="1">
      <alignment horizontal="right" vertical="top" wrapText="1"/>
    </xf>
    <xf numFmtId="14" fontId="12" fillId="0" borderId="6" xfId="4" applyNumberFormat="1" applyFill="1" applyBorder="1" applyAlignment="1">
      <alignment horizontal="center" vertical="top"/>
    </xf>
    <xf numFmtId="164" fontId="13" fillId="0" borderId="6" xfId="0" applyNumberFormat="1" applyFont="1" applyFill="1" applyBorder="1" applyAlignment="1">
      <alignment horizontal="left" vertical="top" wrapText="1"/>
    </xf>
    <xf numFmtId="14" fontId="10" fillId="0" borderId="6" xfId="2" applyNumberFormat="1" applyFill="1" applyBorder="1" applyAlignment="1">
      <alignment horizontal="center" vertical="top"/>
    </xf>
    <xf numFmtId="14" fontId="0" fillId="0" borderId="6" xfId="0" applyNumberFormat="1" applyFill="1" applyBorder="1" applyAlignment="1">
      <alignment horizontal="center" vertical="top"/>
    </xf>
    <xf numFmtId="0" fontId="12" fillId="0" borderId="6" xfId="4" applyFill="1" applyBorder="1" applyAlignment="1">
      <alignment horizontal="center" vertical="top"/>
    </xf>
    <xf numFmtId="0" fontId="5" fillId="0" borderId="1" xfId="0" applyFont="1" applyFill="1" applyBorder="1" applyAlignment="1">
      <alignment horizontal="center" vertical="top"/>
    </xf>
    <xf numFmtId="0" fontId="5" fillId="0" borderId="1" xfId="0" applyFont="1" applyFill="1" applyBorder="1" applyAlignment="1">
      <alignment horizontal="right" vertical="top" wrapText="1"/>
    </xf>
    <xf numFmtId="164" fontId="5" fillId="0" borderId="1" xfId="0" applyNumberFormat="1" applyFont="1" applyFill="1" applyBorder="1" applyAlignment="1">
      <alignment horizontal="left" vertical="top" wrapText="1"/>
    </xf>
    <xf numFmtId="41" fontId="5" fillId="0" borderId="1" xfId="0" applyNumberFormat="1" applyFont="1" applyBorder="1" applyAlignment="1">
      <alignment horizontal="center" vertical="top"/>
    </xf>
    <xf numFmtId="41" fontId="5" fillId="9" borderId="1" xfId="0" applyNumberFormat="1" applyFont="1" applyFill="1" applyBorder="1" applyAlignment="1">
      <alignment horizontal="center" vertical="top"/>
    </xf>
    <xf numFmtId="41" fontId="4" fillId="6" borderId="1" xfId="0" applyNumberFormat="1" applyFont="1" applyFill="1" applyBorder="1" applyAlignment="1">
      <alignment horizontal="center" vertical="top"/>
    </xf>
    <xf numFmtId="0" fontId="5" fillId="0" borderId="1" xfId="8" applyFont="1" applyBorder="1" applyAlignment="1">
      <alignment horizontal="center" vertical="top"/>
    </xf>
    <xf numFmtId="0" fontId="5" fillId="0" borderId="1" xfId="8" applyFont="1" applyAlignment="1"/>
    <xf numFmtId="14" fontId="5" fillId="0" borderId="1" xfId="8" applyNumberFormat="1" applyFont="1" applyBorder="1" applyAlignment="1">
      <alignment horizontal="center" vertical="top"/>
    </xf>
    <xf numFmtId="41" fontId="5" fillId="0" borderId="1" xfId="8" applyNumberFormat="1" applyFont="1" applyFill="1" applyBorder="1" applyAlignment="1">
      <alignment horizontal="center" vertical="top"/>
    </xf>
    <xf numFmtId="0" fontId="5" fillId="0" borderId="1" xfId="8" applyFont="1" applyFill="1" applyBorder="1" applyAlignment="1">
      <alignment horizontal="center" vertical="top"/>
    </xf>
    <xf numFmtId="0" fontId="5" fillId="0" borderId="1" xfId="8" applyFont="1" applyFill="1" applyBorder="1" applyAlignment="1">
      <alignment horizontal="right" vertical="top" wrapText="1"/>
    </xf>
    <xf numFmtId="5" fontId="5" fillId="0" borderId="1" xfId="8" applyNumberFormat="1" applyFont="1" applyFill="1" applyBorder="1" applyAlignment="1">
      <alignment horizontal="center" vertical="top" wrapText="1"/>
    </xf>
    <xf numFmtId="164" fontId="13" fillId="0" borderId="1" xfId="8" applyNumberFormat="1" applyFont="1" applyFill="1" applyBorder="1" applyAlignment="1">
      <alignment horizontal="left" vertical="top" wrapText="1"/>
    </xf>
    <xf numFmtId="41" fontId="5" fillId="0" borderId="1" xfId="8" applyNumberFormat="1" applyFont="1" applyBorder="1" applyAlignment="1">
      <alignment horizontal="center" vertical="top"/>
    </xf>
    <xf numFmtId="41" fontId="5" fillId="7" borderId="1" xfId="8" applyNumberFormat="1" applyFont="1" applyFill="1" applyBorder="1" applyAlignment="1">
      <alignment horizontal="center" vertical="top"/>
    </xf>
    <xf numFmtId="41" fontId="4" fillId="9" borderId="1" xfId="8" applyNumberFormat="1" applyFont="1" applyFill="1" applyBorder="1" applyAlignment="1">
      <alignment horizontal="center" vertical="top"/>
    </xf>
    <xf numFmtId="41" fontId="5" fillId="9" borderId="1" xfId="8"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left" vertical="top"/>
    </xf>
    <xf numFmtId="0" fontId="5" fillId="0" borderId="1" xfId="8" applyFont="1" applyFill="1" applyBorder="1" applyAlignment="1">
      <alignment vertical="top" wrapText="1"/>
    </xf>
    <xf numFmtId="0" fontId="5" fillId="0" borderId="1" xfId="8" applyFont="1" applyFill="1" applyBorder="1" applyAlignment="1">
      <alignment vertical="top"/>
    </xf>
    <xf numFmtId="0" fontId="5" fillId="0" borderId="1" xfId="8" applyFont="1" applyFill="1" applyBorder="1" applyAlignment="1">
      <alignment horizontal="center"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1" fontId="1" fillId="3" borderId="2" xfId="0" applyNumberFormat="1" applyFont="1" applyFill="1" applyBorder="1" applyAlignment="1">
      <alignment horizontal="centerContinuous"/>
    </xf>
    <xf numFmtId="14" fontId="12" fillId="0" borderId="6" xfId="4" applyNumberFormat="1" applyBorder="1" applyAlignment="1">
      <alignment horizontal="center" vertical="top"/>
    </xf>
    <xf numFmtId="5"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14" fontId="12" fillId="0" borderId="6" xfId="4" applyNumberFormat="1" applyBorder="1" applyAlignment="1">
      <alignment horizontal="center" vertical="top"/>
    </xf>
    <xf numFmtId="37"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center"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6" xfId="0" applyFont="1" applyFill="1" applyBorder="1" applyAlignment="1">
      <alignment vertical="top" wrapText="1"/>
    </xf>
    <xf numFmtId="0" fontId="5" fillId="11" borderId="0" xfId="0" applyFont="1" applyFill="1" applyAlignment="1"/>
    <xf numFmtId="41" fontId="5" fillId="0" borderId="6" xfId="0" applyNumberFormat="1" applyFont="1" applyBorder="1" applyAlignment="1">
      <alignment horizontal="center" vertical="top"/>
    </xf>
    <xf numFmtId="14" fontId="5" fillId="0" borderId="1" xfId="0" applyNumberFormat="1" applyFont="1" applyBorder="1" applyAlignment="1">
      <alignment horizontal="center" vertical="top" wrapText="1"/>
    </xf>
    <xf numFmtId="41" fontId="5" fillId="0" borderId="1" xfId="0" applyNumberFormat="1" applyFont="1" applyFill="1" applyBorder="1" applyAlignment="1">
      <alignment vertical="top"/>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12" borderId="6" xfId="0" applyFont="1" applyFill="1" applyBorder="1" applyAlignment="1">
      <alignment horizontal="center" vertical="top"/>
    </xf>
    <xf numFmtId="41" fontId="3" fillId="0" borderId="1" xfId="0" applyNumberFormat="1" applyFont="1" applyFill="1" applyBorder="1" applyAlignment="1">
      <alignment horizontal="center" wrapText="1"/>
    </xf>
    <xf numFmtId="14" fontId="10" fillId="0" borderId="5" xfId="2" applyNumberFormat="1" applyFill="1" applyBorder="1" applyAlignment="1">
      <alignment horizontal="center" vertical="top"/>
    </xf>
    <xf numFmtId="14" fontId="12" fillId="0" borderId="7" xfId="4" applyNumberFormat="1" applyFill="1" applyBorder="1" applyAlignment="1">
      <alignment horizontal="center" vertical="top"/>
    </xf>
    <xf numFmtId="14" fontId="12" fillId="0" borderId="5" xfId="4" applyNumberFormat="1" applyFill="1" applyBorder="1" applyAlignment="1">
      <alignment horizontal="center" vertical="top"/>
    </xf>
    <xf numFmtId="14" fontId="12" fillId="0" borderId="1" xfId="4" applyNumberFormat="1" applyFill="1" applyBorder="1" applyAlignment="1">
      <alignment horizontal="center" vertical="top"/>
    </xf>
    <xf numFmtId="41" fontId="5" fillId="3" borderId="6" xfId="0" applyNumberFormat="1" applyFont="1" applyFill="1" applyBorder="1" applyAlignment="1">
      <alignment horizontal="center" vertical="top"/>
    </xf>
    <xf numFmtId="41" fontId="17" fillId="0" borderId="1" xfId="0" applyNumberFormat="1" applyFont="1" applyFill="1" applyBorder="1" applyAlignment="1">
      <alignment horizontal="center" wrapText="1"/>
    </xf>
    <xf numFmtId="41" fontId="5" fillId="0" borderId="1" xfId="0" applyNumberFormat="1" applyFont="1" applyFill="1" applyBorder="1" applyAlignment="1">
      <alignment horizontal="center" vertical="top" wrapText="1"/>
    </xf>
    <xf numFmtId="41" fontId="18" fillId="0" borderId="6" xfId="0" applyNumberFormat="1" applyFont="1" applyFill="1" applyBorder="1" applyAlignment="1">
      <alignment horizontal="center" vertical="top" wrapText="1"/>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0" fillId="0" borderId="6" xfId="0" applyFill="1" applyBorder="1" applyAlignment="1">
      <alignment vertical="top" wrapText="1"/>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14" fontId="12" fillId="0" borderId="6" xfId="4" applyNumberForma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7"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0" fontId="9" fillId="0" borderId="6" xfId="0" applyFont="1" applyFill="1" applyBorder="1" applyAlignment="1">
      <alignment horizontal="left"/>
    </xf>
    <xf numFmtId="0" fontId="2" fillId="0" borderId="6" xfId="0" applyFont="1" applyFill="1" applyBorder="1" applyAlignment="1">
      <alignment horizontal="center" wrapText="1"/>
    </xf>
    <xf numFmtId="0" fontId="5" fillId="0" borderId="6" xfId="0" applyFont="1" applyBorder="1" applyAlignment="1">
      <alignment horizontal="center"/>
    </xf>
    <xf numFmtId="14" fontId="5" fillId="0" borderId="6" xfId="0" applyNumberFormat="1" applyFont="1" applyBorder="1" applyAlignment="1">
      <alignment horizontal="center"/>
    </xf>
    <xf numFmtId="41" fontId="2" fillId="0" borderId="6" xfId="0" applyNumberFormat="1" applyFont="1" applyFill="1" applyBorder="1" applyAlignment="1">
      <alignment horizontal="center" wrapText="1"/>
    </xf>
    <xf numFmtId="14" fontId="2" fillId="0" borderId="6" xfId="0" applyNumberFormat="1" applyFont="1" applyFill="1" applyBorder="1" applyAlignment="1">
      <alignment horizontal="center" wrapText="1"/>
    </xf>
    <xf numFmtId="14" fontId="5" fillId="0" borderId="6" xfId="0" applyNumberFormat="1" applyFont="1" applyFill="1" applyBorder="1" applyAlignment="1">
      <alignment horizontal="center"/>
    </xf>
    <xf numFmtId="5" fontId="2" fillId="0" borderId="6" xfId="0" applyNumberFormat="1" applyFont="1" applyFill="1" applyBorder="1" applyAlignment="1">
      <alignment horizontal="center" wrapText="1"/>
    </xf>
    <xf numFmtId="0" fontId="2" fillId="0" borderId="6" xfId="0" applyFont="1" applyFill="1" applyBorder="1" applyAlignment="1">
      <alignment horizontal="left" wrapText="1"/>
    </xf>
    <xf numFmtId="41" fontId="18" fillId="0" borderId="6" xfId="0" applyNumberFormat="1" applyFont="1" applyFill="1" applyBorder="1" applyAlignment="1">
      <alignment horizontal="center" wrapText="1"/>
    </xf>
    <xf numFmtId="41" fontId="6" fillId="0" borderId="6" xfId="0" applyNumberFormat="1" applyFont="1" applyFill="1" applyBorder="1" applyAlignment="1">
      <alignment horizontal="center" wrapText="1"/>
    </xf>
    <xf numFmtId="41" fontId="3" fillId="0" borderId="6" xfId="0" applyNumberFormat="1" applyFont="1" applyFill="1" applyBorder="1" applyAlignment="1">
      <alignment horizontal="center"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0" xfId="0" applyFont="1" applyFill="1" applyAlignment="1"/>
    <xf numFmtId="0" fontId="0" fillId="0" borderId="0" xfId="0" applyFill="1" applyAlignment="1"/>
    <xf numFmtId="41" fontId="5" fillId="9"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14" fontId="10" fillId="0" borderId="1" xfId="4"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Fill="1" applyBorder="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1" fillId="0" borderId="4" xfId="0" applyFont="1" applyBorder="1" applyAlignment="1">
      <alignment horizontal="center" wrapText="1"/>
    </xf>
    <xf numFmtId="41" fontId="1" fillId="7" borderId="2" xfId="0" applyNumberFormat="1" applyFont="1" applyFill="1" applyBorder="1" applyAlignment="1">
      <alignment horizontal="center" wrapText="1"/>
    </xf>
    <xf numFmtId="41" fontId="1" fillId="7" borderId="2" xfId="0" applyNumberFormat="1" applyFont="1" applyFill="1" applyBorder="1" applyAlignment="1">
      <alignment wrapText="1"/>
    </xf>
    <xf numFmtId="0" fontId="1" fillId="7" borderId="2" xfId="0" applyFont="1" applyFill="1" applyBorder="1" applyAlignment="1">
      <alignment wrapText="1"/>
    </xf>
    <xf numFmtId="41" fontId="1" fillId="4" borderId="2" xfId="0" applyNumberFormat="1" applyFont="1" applyFill="1" applyBorder="1" applyAlignment="1">
      <alignment horizontal="center" wrapText="1"/>
    </xf>
    <xf numFmtId="41" fontId="0" fillId="4" borderId="2" xfId="0" applyNumberFormat="1" applyFill="1" applyBorder="1" applyAlignment="1">
      <alignment wrapText="1"/>
    </xf>
    <xf numFmtId="0" fontId="0" fillId="4" borderId="2" xfId="0" applyFill="1" applyBorder="1" applyAlignment="1">
      <alignment wrapText="1"/>
    </xf>
    <xf numFmtId="0" fontId="5" fillId="0" borderId="6" xfId="0" applyFont="1" applyFill="1" applyBorder="1" applyAlignment="1">
      <alignment horizontal="left" vertical="top" wrapText="1"/>
    </xf>
    <xf numFmtId="0" fontId="5" fillId="0" borderId="6" xfId="0" applyFont="1" applyFill="1" applyBorder="1" applyAlignment="1">
      <alignment horizontal="center" vertical="top"/>
    </xf>
    <xf numFmtId="0" fontId="5" fillId="0" borderId="6" xfId="0" applyFont="1" applyBorder="1" applyAlignment="1">
      <alignment horizontal="right"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14" fontId="10" fillId="0" borderId="6" xfId="2" applyNumberFormat="1" applyBorder="1" applyAlignment="1">
      <alignment horizontal="center" vertical="top"/>
    </xf>
    <xf numFmtId="41" fontId="5" fillId="9" borderId="6" xfId="0" quotePrefix="1"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7" borderId="6" xfId="0" applyNumberFormat="1" applyFont="1" applyFill="1" applyBorder="1" applyAlignment="1">
      <alignment vertical="top"/>
    </xf>
    <xf numFmtId="41" fontId="5" fillId="9" borderId="6" xfId="0" quotePrefix="1" applyNumberFormat="1" applyFont="1" applyFill="1" applyBorder="1" applyAlignment="1">
      <alignment vertical="top"/>
    </xf>
    <xf numFmtId="41" fontId="5" fillId="9" borderId="6" xfId="0" applyNumberFormat="1" applyFont="1" applyFill="1" applyBorder="1" applyAlignment="1">
      <alignment vertical="top"/>
    </xf>
    <xf numFmtId="0" fontId="5" fillId="0" borderId="7"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11" borderId="7" xfId="0" applyFont="1" applyFill="1" applyBorder="1" applyAlignment="1">
      <alignment horizontal="left" vertical="top" wrapText="1"/>
    </xf>
    <xf numFmtId="0" fontId="5" fillId="11" borderId="5" xfId="0" applyFont="1" applyFill="1" applyBorder="1" applyAlignment="1">
      <alignment horizontal="left" vertical="top" wrapText="1"/>
    </xf>
    <xf numFmtId="0" fontId="5" fillId="11" borderId="7" xfId="0" applyFont="1" applyFill="1" applyBorder="1" applyAlignment="1">
      <alignment horizontal="center" vertical="top" wrapText="1"/>
    </xf>
    <xf numFmtId="0" fontId="5" fillId="11" borderId="5" xfId="0" applyFont="1" applyFill="1" applyBorder="1" applyAlignment="1">
      <alignment horizontal="center" vertical="top" wrapText="1"/>
    </xf>
    <xf numFmtId="0" fontId="5" fillId="0" borderId="7" xfId="0" applyFont="1" applyFill="1" applyBorder="1" applyAlignment="1">
      <alignment horizontal="center" vertical="top"/>
    </xf>
    <xf numFmtId="0" fontId="5" fillId="0" borderId="5" xfId="0" applyFont="1" applyFill="1" applyBorder="1" applyAlignment="1">
      <alignment horizontal="center" vertical="top"/>
    </xf>
    <xf numFmtId="14" fontId="12" fillId="0" borderId="6" xfId="4" applyNumberFormat="1" applyBorder="1" applyAlignment="1">
      <alignment horizontal="center" vertical="top"/>
    </xf>
    <xf numFmtId="167" fontId="5" fillId="7" borderId="6" xfId="0" applyNumberFormat="1" applyFont="1" applyFill="1" applyBorder="1" applyAlignment="1">
      <alignment horizontal="center" vertical="top"/>
    </xf>
    <xf numFmtId="41" fontId="5" fillId="9" borderId="7" xfId="0" quotePrefix="1" applyNumberFormat="1" applyFont="1" applyFill="1" applyBorder="1" applyAlignment="1">
      <alignment vertical="top"/>
    </xf>
    <xf numFmtId="41" fontId="5" fillId="9" borderId="5" xfId="0" quotePrefix="1" applyNumberFormat="1" applyFont="1" applyFill="1" applyBorder="1" applyAlignment="1">
      <alignment vertical="top"/>
    </xf>
    <xf numFmtId="0" fontId="5" fillId="0" borderId="7" xfId="0" applyFont="1" applyBorder="1" applyAlignment="1">
      <alignment vertical="top"/>
    </xf>
    <xf numFmtId="0" fontId="5" fillId="0" borderId="5" xfId="0" applyFont="1" applyBorder="1" applyAlignment="1">
      <alignment vertical="top"/>
    </xf>
    <xf numFmtId="5" fontId="5" fillId="0" borderId="7" xfId="0" applyNumberFormat="1" applyFont="1" applyFill="1" applyBorder="1" applyAlignment="1">
      <alignment horizontal="center" vertical="top" wrapText="1"/>
    </xf>
    <xf numFmtId="5" fontId="5" fillId="0" borderId="5" xfId="0" applyNumberFormat="1" applyFont="1" applyFill="1" applyBorder="1" applyAlignment="1">
      <alignment horizontal="center" vertical="top" wrapText="1"/>
    </xf>
    <xf numFmtId="41" fontId="5" fillId="0" borderId="7" xfId="0" applyNumberFormat="1" applyFont="1" applyBorder="1" applyAlignment="1">
      <alignment horizontal="center" vertical="top"/>
    </xf>
    <xf numFmtId="41" fontId="5" fillId="0" borderId="5" xfId="0" applyNumberFormat="1" applyFont="1" applyBorder="1" applyAlignment="1">
      <alignment horizontal="center" vertical="top"/>
    </xf>
    <xf numFmtId="41" fontId="5" fillId="0" borderId="7"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41" fontId="0" fillId="0" borderId="0" xfId="0" applyNumberFormat="1" applyFill="1" applyAlignment="1">
      <alignment vertical="center" wrapText="1"/>
    </xf>
    <xf numFmtId="41" fontId="5" fillId="9" borderId="7" xfId="0" applyNumberFormat="1" applyFont="1" applyFill="1" applyBorder="1" applyAlignment="1">
      <alignment vertical="top"/>
    </xf>
    <xf numFmtId="41" fontId="5" fillId="9" borderId="5" xfId="0" applyNumberFormat="1" applyFont="1" applyFill="1" applyBorder="1" applyAlignment="1">
      <alignment vertical="top"/>
    </xf>
    <xf numFmtId="41" fontId="4" fillId="6" borderId="6" xfId="0" applyNumberFormat="1" applyFont="1" applyFill="1" applyBorder="1" applyAlignment="1">
      <alignment vertical="top"/>
    </xf>
  </cellXfs>
  <cellStyles count="9">
    <cellStyle name="Comma" xfId="5" builtinId="3"/>
    <cellStyle name="Currency" xfId="6" builtinId="4"/>
    <cellStyle name="Hyperlink" xfId="4" builtinId="8"/>
    <cellStyle name="Hyperlink 2" xfId="2"/>
    <cellStyle name="Hyperlink 3" xfId="1"/>
    <cellStyle name="Normal" xfId="0" builtinId="0"/>
    <cellStyle name="Normal 2" xfId="3"/>
    <cellStyle name="Normal 3" xfId="7"/>
    <cellStyle name="Normal 4" xfId="8"/>
  </cellStyles>
  <dxfs count="0"/>
  <tableStyles count="0" defaultTableStyle="TableStyleMedium9" defaultPivotStyle="PivotStyleMedium4"/>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resolutions.hamiltontn.gov/resolutions/2002/302-41A.pdf" TargetMode="External"/><Relationship Id="rId21" Type="http://schemas.openxmlformats.org/officeDocument/2006/relationships/hyperlink" Target="http://www.chattanooga.gov/city-council-files/OrdinancesAndResolutions/Resolutions/Resolutions%202012/27337_PILOT_UTC_Three.pdf" TargetMode="External"/><Relationship Id="rId34" Type="http://schemas.openxmlformats.org/officeDocument/2006/relationships/hyperlink" Target="http://resolutions.hamiltontn.gov/resolutions/2014/614-19.pdf" TargetMode="External"/><Relationship Id="rId42" Type="http://schemas.openxmlformats.org/officeDocument/2006/relationships/hyperlink" Target="http://resolutions.hamiltontn.gov/resolutions/2002/302-41A.pdf" TargetMode="External"/><Relationship Id="rId47" Type="http://schemas.openxmlformats.org/officeDocument/2006/relationships/hyperlink" Target="http://resolutions.hamiltontn.gov/resolutions/2012/1212-20.pdf" TargetMode="External"/><Relationship Id="rId50" Type="http://schemas.openxmlformats.org/officeDocument/2006/relationships/hyperlink" Target="http://www.chattanooga.gov/city-council-files/OrdinancesAndResolutions/Resolutions/Resolutions%202015/28165%20PILOT%20Choo%20Choo.pdf" TargetMode="External"/><Relationship Id="rId55" Type="http://schemas.openxmlformats.org/officeDocument/2006/relationships/hyperlink" Target="http://resolutions.hamiltontn.gov/resolutions/2015/715-16.pdf" TargetMode="External"/><Relationship Id="rId63" Type="http://schemas.openxmlformats.org/officeDocument/2006/relationships/hyperlink" Target="http://www.chattanooga.gov/city-council-files/OrdinancesAndResolutions/Resolutions/Resolutions%202015/28424%20PILOT%20Gestamp.pdf" TargetMode="External"/><Relationship Id="rId68" Type="http://schemas.openxmlformats.org/officeDocument/2006/relationships/hyperlink" Target="http://www.chattanooga.gov/city-council-files/OrdinancesAndResolutions/Resolutions/Resolutions%202016/28815%20PILOT-ECG%20Chestnut%20LP.pdf" TargetMode="External"/><Relationship Id="rId76" Type="http://schemas.openxmlformats.org/officeDocument/2006/relationships/hyperlink" Target="http://www.chattanooga.gov/city-council-files/OrdinancesAndResolutions/Resolutions/Resolutions%202016/28835%20PILOT%20Resolution%20Jaycee%20Tower%20City.pdf" TargetMode="External"/><Relationship Id="rId84" Type="http://schemas.openxmlformats.org/officeDocument/2006/relationships/hyperlink" Target="http://www.chattanooga.gov/city-council-files/OrdinancesAndResolutions/Resolutions/Resolutions%202015/28336%20PILOT%20Simpson%20Organization.pdf" TargetMode="External"/><Relationship Id="rId89" Type="http://schemas.openxmlformats.org/officeDocument/2006/relationships/hyperlink" Target="http://www.chattanooga.gov/city-council-files/OrdinancesAndResolutions/Resolutions/Resolutions%202012/27143%20App%20Economic%20Impact%20Plan%20for%20Black%20Creek%20Mountain.pdf" TargetMode="External"/><Relationship Id="rId97" Type="http://schemas.openxmlformats.org/officeDocument/2006/relationships/printerSettings" Target="../printerSettings/printerSettings1.bin"/><Relationship Id="rId7" Type="http://schemas.openxmlformats.org/officeDocument/2006/relationships/hyperlink" Target="http://www.chattanooga.gov/city-council-files/OrdinancesAndResolutions/Resolutions/Resolutions%202010/26356%20Aut%20amendment%20to%20payment%20in%20lieu%20of%20tax%20agreement%20with%20Gestamp.pdf" TargetMode="External"/><Relationship Id="rId71" Type="http://schemas.openxmlformats.org/officeDocument/2006/relationships/hyperlink" Target="http://www.chattanooga.gov/city-council-files/OrdinancesAndResolutions/Resolutions/Resolutions%202008/25672%20Auth%20PILOT%20Agmt%20-%20%20Westinghouse%20Electric%20Sept%202008.pdf" TargetMode="External"/><Relationship Id="rId92" Type="http://schemas.openxmlformats.org/officeDocument/2006/relationships/hyperlink" Target="http://resolutions.hamiltontn.gov/resolutions/2018/1018-4.pdf" TargetMode="External"/><Relationship Id="rId2" Type="http://schemas.openxmlformats.org/officeDocument/2006/relationships/hyperlink" Target="http://www.chattanooga.gov/city-council-files/OrdinancesAndResolutions/Resolutions/Resolutions%202010/26518%20Make%20certain%20findings%20relating%20to%20Chattanooga%20Seating%20Systems.pdf" TargetMode="External"/><Relationship Id="rId16" Type="http://schemas.openxmlformats.org/officeDocument/2006/relationships/hyperlink" Target="http://www.chattanooga.gov/city-council-files/OrdinancesAndResolutions/Resolutions/Resolutions%202010/26441%20Make%20certain%20findings%20relating%20to%20Wm%20Wrigley%20Jr.%20Co.%20Project.pdf" TargetMode="External"/><Relationship Id="rId29" Type="http://schemas.openxmlformats.org/officeDocument/2006/relationships/hyperlink" Target="http://resolutions.hamiltontn.gov/resolutions/2009/609-11.pdf" TargetMode="External"/><Relationship Id="rId11" Type="http://schemas.openxmlformats.org/officeDocument/2006/relationships/hyperlink" Target="http://www.chattanooga.gov/city-council-files/OrdinancesAndResolutions/Resolutions/Resolutions%202008/25682%20Auth%20PILOT%20Agmt%20-%20RiverCity%20Company%20-%20Movie%20Theater.pdf" TargetMode="External"/><Relationship Id="rId24" Type="http://schemas.openxmlformats.org/officeDocument/2006/relationships/hyperlink" Target="http://www.hamiltontn.gov/pdf/PILOT/CollegedaleResolution293.pdf" TargetMode="External"/><Relationship Id="rId32" Type="http://schemas.openxmlformats.org/officeDocument/2006/relationships/hyperlink" Target="http://resolutions.hamiltontn.gov/resolutions/2010/1210-12.pdf" TargetMode="External"/><Relationship Id="rId37" Type="http://schemas.openxmlformats.org/officeDocument/2006/relationships/hyperlink" Target="http://resolutions.hamiltontn.gov/resolutions/2014/1214-8.pdf" TargetMode="External"/><Relationship Id="rId40" Type="http://schemas.openxmlformats.org/officeDocument/2006/relationships/hyperlink" Target="http://resolutions.hamiltontn.gov/resolutions/2006/1006-36.pdf" TargetMode="External"/><Relationship Id="rId45" Type="http://schemas.openxmlformats.org/officeDocument/2006/relationships/hyperlink" Target="http://resolutions.hamiltontn.gov/resolutions/2002/302-41A.pdf" TargetMode="External"/><Relationship Id="rId53" Type="http://schemas.openxmlformats.org/officeDocument/2006/relationships/hyperlink" Target="http://www.chattanooga.gov/city-council-files/OrdinancesAndResolutions/Resolutions/Resolutions%202015/28302%20PILOT%20NEW%20Gestamp%20North%20America.pdf" TargetMode="External"/><Relationship Id="rId58" Type="http://schemas.openxmlformats.org/officeDocument/2006/relationships/hyperlink" Target="http://www.chattanooga.gov/city-council-files/OrdinancesAndResolutions/Resolutions/Resolutions%202015/28256%20PILOT%20The%20KORE%20Company.pdf" TargetMode="External"/><Relationship Id="rId66" Type="http://schemas.openxmlformats.org/officeDocument/2006/relationships/hyperlink" Target="http://www.chattanooga.gov/city-council-files/OrdinancesAndResolutions/Resolutions/Resolutions%202016/28501%20PILOT%20Yanfeng.pdf" TargetMode="External"/><Relationship Id="rId74" Type="http://schemas.openxmlformats.org/officeDocument/2006/relationships/hyperlink" Target="http://resolutions.hamiltontn.gov/resolutions/2016/1216-31.pdf" TargetMode="External"/><Relationship Id="rId79" Type="http://schemas.openxmlformats.org/officeDocument/2006/relationships/hyperlink" Target="http://resolutions.hamiltontn.gov/resolutions/2005/305-34.pdf" TargetMode="External"/><Relationship Id="rId87" Type="http://schemas.openxmlformats.org/officeDocument/2006/relationships/hyperlink" Target="http://resolutions.hamiltontn.gov/resolutions/2018/318-14.pdf" TargetMode="External"/><Relationship Id="rId5" Type="http://schemas.openxmlformats.org/officeDocument/2006/relationships/hyperlink" Target="http://www.chattanooga.gov/city-council-files/OrdinancesAndResolutions/Resolutions/Resolutions%202014/27804%20Coca-Cola%20PILOT.pdf" TargetMode="External"/><Relationship Id="rId61" Type="http://schemas.openxmlformats.org/officeDocument/2006/relationships/hyperlink" Target="http://resolutions.hamiltontn.gov/resolutions/2010/710-4.pdf" TargetMode="External"/><Relationship Id="rId82" Type="http://schemas.openxmlformats.org/officeDocument/2006/relationships/hyperlink" Target="http://resolutions.hamiltontn.gov/resolutions/2015/215-37.pdf" TargetMode="External"/><Relationship Id="rId90" Type="http://schemas.openxmlformats.org/officeDocument/2006/relationships/hyperlink" Target="http://resolutions.hamiltontn.gov/resolutions/2017/1217-30.pdf" TargetMode="External"/><Relationship Id="rId95" Type="http://schemas.openxmlformats.org/officeDocument/2006/relationships/hyperlink" Target="http://resolutions.hamiltontn.gov/resolutions/2017/1117-27.pdf" TargetMode="External"/><Relationship Id="rId19" Type="http://schemas.openxmlformats.org/officeDocument/2006/relationships/hyperlink" Target="http://www.chattanooga.gov/city-council-files/OrdinancesAndResolutions/Resolutions/Resolutions%202002/23253%20Downtown%20Housing%20Initiative%20.doc" TargetMode="External"/><Relationship Id="rId14" Type="http://schemas.openxmlformats.org/officeDocument/2006/relationships/hyperlink" Target="http://www.chattanooga.gov/city-council-files/OrdinancesAndResolutions/Resolutions/Resolutions%202014/27960%20Aut%20MOU%20for%20VW%20CrossBlue%20Project.pdf" TargetMode="External"/><Relationship Id="rId22" Type="http://schemas.openxmlformats.org/officeDocument/2006/relationships/hyperlink" Target="http://www.chattanooga.gov/city-council-files/OrdinancesAndResolutions/Resolutions/Resolutions%202012/27336_PILOT_UTC_Two.pdf" TargetMode="External"/><Relationship Id="rId27" Type="http://schemas.openxmlformats.org/officeDocument/2006/relationships/hyperlink" Target="http://resolutions.hamiltontn.gov/resolutions/2009/909-40.pdf" TargetMode="External"/><Relationship Id="rId30" Type="http://schemas.openxmlformats.org/officeDocument/2006/relationships/hyperlink" Target="http://resolutions.hamiltontn.gov/resolutions/2014/714-18.pdf" TargetMode="External"/><Relationship Id="rId35" Type="http://schemas.openxmlformats.org/officeDocument/2006/relationships/hyperlink" Target="http://resolutions.hamiltontn.gov/resolutions/2009/309-37.pdf" TargetMode="External"/><Relationship Id="rId43" Type="http://schemas.openxmlformats.org/officeDocument/2006/relationships/hyperlink" Target="http://resolutions.hamiltontn.gov/resolutions/2002/302-41A.pdf" TargetMode="External"/><Relationship Id="rId48" Type="http://schemas.openxmlformats.org/officeDocument/2006/relationships/hyperlink" Target="http://resolutions.hamiltontn.gov/resolutions/2015/315-43.pdf" TargetMode="External"/><Relationship Id="rId56" Type="http://schemas.openxmlformats.org/officeDocument/2006/relationships/hyperlink" Target="http://resolutions.hamiltontn.gov/resolutions/2015/715-17.pdf" TargetMode="External"/><Relationship Id="rId64" Type="http://schemas.openxmlformats.org/officeDocument/2006/relationships/hyperlink" Target="http://resolutions.hamiltontn.gov/resolutions/2015/1015-20.pdf" TargetMode="External"/><Relationship Id="rId69" Type="http://schemas.openxmlformats.org/officeDocument/2006/relationships/hyperlink" Target="http://resolutions.hamiltontn.gov/resolutions/2016/1116-3.pdf" TargetMode="External"/><Relationship Id="rId77" Type="http://schemas.openxmlformats.org/officeDocument/2006/relationships/hyperlink" Target="http://www.chattanooga.gov/city-council-files/OrdinancesAndResolutions/Resolutions/Resolutions%202016/28852%20PILOT%20Resolution%20Standard%20Coosa%20Lofts.pdf" TargetMode="External"/><Relationship Id="rId8" Type="http://schemas.openxmlformats.org/officeDocument/2006/relationships/hyperlink" Target="http://www.chattanooga.gov/city-council-files/OrdinancesAndResolutions/Resolutions/Resolutions%202007/25042%20Auth%20Jarnigan%20Road%20III,%20LLC-EMJ%20Corp-CBL%20Assocs%20Mgmt,%20Inc-PILOT.DOC" TargetMode="External"/><Relationship Id="rId51" Type="http://schemas.openxmlformats.org/officeDocument/2006/relationships/hyperlink" Target="http://resolutions.hamiltontn.gov/resolutions/2015/515-28.pdf" TargetMode="External"/><Relationship Id="rId72" Type="http://schemas.openxmlformats.org/officeDocument/2006/relationships/hyperlink" Target="http://resolutions.hamiltontn.gov/resolutions/2010/1210-12.pdf" TargetMode="External"/><Relationship Id="rId80" Type="http://schemas.openxmlformats.org/officeDocument/2006/relationships/hyperlink" Target="http://www.chattanooga.gov/city-council-files/OrdinancesAndResolutions/Resolutions/Resolutions%202017/29035%20PILOT%20HomeServ.pdf" TargetMode="External"/><Relationship Id="rId85" Type="http://schemas.openxmlformats.org/officeDocument/2006/relationships/hyperlink" Target="http://resolutions.hamiltontn.gov/resolutions/2015/815-19.pdf" TargetMode="External"/><Relationship Id="rId93" Type="http://schemas.openxmlformats.org/officeDocument/2006/relationships/hyperlink" Target="http://www.chattanooga.gov/city-council-files/OrdinancesAndResolutions/Resolutions/Resolutions%202018/29634%20PILOT%20-%20Ridgeway%20Apartments.pdf" TargetMode="External"/><Relationship Id="rId3" Type="http://schemas.openxmlformats.org/officeDocument/2006/relationships/hyperlink" Target="http://www.chattanooga.gov/city-council-files/OrdinancesAndResolutions/Resolutions/Resolutions%202009/25968%20Make%20certain%20findings%20relating%20to%20Chattem,%20Inc.%20Project.pdf" TargetMode="External"/><Relationship Id="rId12" Type="http://schemas.openxmlformats.org/officeDocument/2006/relationships/hyperlink" Target="http://www.chattanooga.gov/city-council-files/OrdinancesAndResolutions/Resolutions/Resolutions%202014/28072%20PILOT%20Southern%20Champion.pdf" TargetMode="External"/><Relationship Id="rId17" Type="http://schemas.openxmlformats.org/officeDocument/2006/relationships/hyperlink" Target="http://www.chattanooga.gov/city-council-files/OrdinancesAndResolutions/Resolutions/Resolutions%202002/23253%20Downtown%20Housing%20Initiative%20.doc" TargetMode="External"/><Relationship Id="rId25" Type="http://schemas.openxmlformats.org/officeDocument/2006/relationships/hyperlink" Target="http://resolutions.hamiltontn.gov/resolutions/2006/706-17.pdf" TargetMode="External"/><Relationship Id="rId33" Type="http://schemas.openxmlformats.org/officeDocument/2006/relationships/hyperlink" Target="http://resolutions.hamiltontn.gov/resolutions/2007/207-26.pdf" TargetMode="External"/><Relationship Id="rId38" Type="http://schemas.openxmlformats.org/officeDocument/2006/relationships/hyperlink" Target="http://resolutions.hamiltontn.gov/resolutions/2008/1108-43.pdf" TargetMode="External"/><Relationship Id="rId46" Type="http://schemas.openxmlformats.org/officeDocument/2006/relationships/hyperlink" Target="http://resolutions.hamiltontn.gov/resolutions/2012/1212-21.pdf" TargetMode="External"/><Relationship Id="rId59" Type="http://schemas.openxmlformats.org/officeDocument/2006/relationships/hyperlink" Target="http://www.chattanooga.gov/city-council-files/OrdinancesAndResolutions/Resolutions/Resolutions%202014/28002%20Van%20De%20Wiele%20project%20payment%20in%20lieu%20of%20taxes.pdf" TargetMode="External"/><Relationship Id="rId67" Type="http://schemas.openxmlformats.org/officeDocument/2006/relationships/hyperlink" Target="http://resolutions.hamiltontn.gov/resolutions/2016/116-27.pdf" TargetMode="External"/><Relationship Id="rId20" Type="http://schemas.openxmlformats.org/officeDocument/2006/relationships/hyperlink" Target="http://www.chattanooga.gov/city-council-files/OrdinancesAndResolutions/Resolutions/Resolutions%202002/23253%20Downtown%20Housing%20Initiative%20.doc" TargetMode="External"/><Relationship Id="rId41" Type="http://schemas.openxmlformats.org/officeDocument/2006/relationships/hyperlink" Target="http://resolutions.hamiltontn.gov/resolutions/2010/1010-8.pdf" TargetMode="External"/><Relationship Id="rId54" Type="http://schemas.openxmlformats.org/officeDocument/2006/relationships/hyperlink" Target="http://resolutions.hamiltontn.gov/resolutions/2015/715-15.pdf" TargetMode="External"/><Relationship Id="rId62" Type="http://schemas.openxmlformats.org/officeDocument/2006/relationships/hyperlink" Target="http://resolutions.hamiltontn.gov/resolutions/2008/908-48.pdf" TargetMode="External"/><Relationship Id="rId70" Type="http://schemas.openxmlformats.org/officeDocument/2006/relationships/hyperlink" Target="http://resolutions.hamiltontn.gov/resolutions/2008/308-51.pdf" TargetMode="External"/><Relationship Id="rId75" Type="http://schemas.openxmlformats.org/officeDocument/2006/relationships/hyperlink" Target="http://resolutions.hamiltontn.gov/resolutions/2016/1216-8.pdf" TargetMode="External"/><Relationship Id="rId83" Type="http://schemas.openxmlformats.org/officeDocument/2006/relationships/hyperlink" Target="http://www.chattanooga.gov/city-council-files/OrdinancesAndResolutions/Resolutions/Resolutions%202015/28139%20PILOT%20UTC%20Five.pdf" TargetMode="External"/><Relationship Id="rId88" Type="http://schemas.openxmlformats.org/officeDocument/2006/relationships/hyperlink" Target="http://chattanooga.gov/city-council-files/OrdinancesAndResolutions/Resolutions/Resolutions%202018/29336%20Economic%20Impact%20Plan%20ML%20King%20v2.pdf" TargetMode="External"/><Relationship Id="rId91" Type="http://schemas.openxmlformats.org/officeDocument/2006/relationships/hyperlink" Target="http://www.chattanooga.gov/city-council-files/OrdinancesAndResolutions/Resolutions/Resolutions%202017/29215%20PILOT%20Bayberry%20Apts%20v3.pdf" TargetMode="External"/><Relationship Id="rId96" Type="http://schemas.openxmlformats.org/officeDocument/2006/relationships/hyperlink" Target="http://www.chattanooga.gov/city-council-files/OrdinancesAndResolutions/Resolutions/Resolutions%202018/29744%20PILOT%20Patten%20Towers.pdf" TargetMode="External"/><Relationship Id="rId1" Type="http://schemas.openxmlformats.org/officeDocument/2006/relationships/hyperlink" Target="http://www.chattanooga.gov/city-council-files/OrdinancesAndResolutions/Resolutions/Resolutions%202009/26093%20Make%20certain%20findings%20relating%20to%20AKI%20project.pdf" TargetMode="External"/><Relationship Id="rId6"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15" Type="http://schemas.openxmlformats.org/officeDocument/2006/relationships/hyperlink" Target="http://www.chattanooga.gov/city-council-files/OrdinancesAndResolutions/Resolutions/Resolutions%202006/24923%20Auth%20Wrigley%20PILOT%20Agmt%20-%20County%20IDB.DOC" TargetMode="External"/><Relationship Id="rId23" Type="http://schemas.openxmlformats.org/officeDocument/2006/relationships/hyperlink" Target="http://www.chattanooga.gov/city-council-files/OrdinancesAndResolutions/Resolutions/Resolutions%202002/23253%20Downtown%20Housing%20Initiative%20.doc" TargetMode="External"/><Relationship Id="rId28" Type="http://schemas.openxmlformats.org/officeDocument/2006/relationships/hyperlink" Target="http://resolutions.hamiltontn.gov/resolutions/2008/1208-36.pdf" TargetMode="External"/><Relationship Id="rId36" Type="http://schemas.openxmlformats.org/officeDocument/2006/relationships/hyperlink" Target="http://resolutions.hamiltontn.gov/resolutions/2008/1008-27.pdf" TargetMode="External"/><Relationship Id="rId49" Type="http://schemas.openxmlformats.org/officeDocument/2006/relationships/hyperlink" Target="http://www.chattanooga.gov/city-council-files/OrdinancesAndResolutions/Resolutions/Resolutions%202015/28233%20PILOT%20Heritage-Maclellan.pdf" TargetMode="External"/><Relationship Id="rId57" Type="http://schemas.openxmlformats.org/officeDocument/2006/relationships/hyperlink" Target="http://resolutions.hamiltontn.gov/resolutions/2014/914-31.pdf" TargetMode="External"/><Relationship Id="rId10" Type="http://schemas.openxmlformats.org/officeDocument/2006/relationships/hyperlink" Target="http://www.chattanooga.gov/city-council-files/OrdinancesAndResolutions/Resolutions/Resolutions%202009/25843%20Auth%20PILOT%20Agmt%20-%20Provident.pdf" TargetMode="External"/><Relationship Id="rId31" Type="http://schemas.openxmlformats.org/officeDocument/2006/relationships/hyperlink" Target="http://resolutions.hamiltontn.gov/resolutions/2014/314-25.pdf" TargetMode="External"/><Relationship Id="rId44" Type="http://schemas.openxmlformats.org/officeDocument/2006/relationships/hyperlink" Target="http://resolutions.hamiltontn.gov/resolutions/2002/302-41A.pdf" TargetMode="External"/><Relationship Id="rId52" Type="http://schemas.openxmlformats.org/officeDocument/2006/relationships/hyperlink" Target="http://www.chattanooga.gov/city-council-files/OrdinancesAndResolutions/Resolutions/Resolutions%202015/28301%20PILOT%20Expansion%20Gestamp.pdf" TargetMode="External"/><Relationship Id="rId60" Type="http://schemas.openxmlformats.org/officeDocument/2006/relationships/hyperlink" Target="http://resolutions.hamiltontn.gov/resolutions/2009/1109-52.pdf" TargetMode="External"/><Relationship Id="rId65" Type="http://schemas.openxmlformats.org/officeDocument/2006/relationships/hyperlink" Target="http://resolutions.hamiltontn.gov/resolutions/2015/1015-54.pdf" TargetMode="External"/><Relationship Id="rId73"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78" Type="http://schemas.openxmlformats.org/officeDocument/2006/relationships/hyperlink" Target="http://www.chattanooga.gov/city-council-files/OrdinancesAndResolutions/Resolutions/Resolutions%202005/24361%20Authorize%20BlueCross%20BlueShield%20PILOT%20Agreement.pdf" TargetMode="External"/><Relationship Id="rId81" Type="http://schemas.openxmlformats.org/officeDocument/2006/relationships/hyperlink" Target="http://resolutions.hamiltontn.gov/resolutions/2017/517-30.pdf" TargetMode="External"/><Relationship Id="rId86" Type="http://schemas.openxmlformats.org/officeDocument/2006/relationships/hyperlink" Target="http://resolutions.hamiltontn.gov/resolutions/2012/612-27.pdf" TargetMode="External"/><Relationship Id="rId94" Type="http://schemas.openxmlformats.org/officeDocument/2006/relationships/hyperlink" Target="http://www.chattanooga.gov/city-council-files/OrdinancesAndResolutions/Resolutions/Resolutions%202017/29248%20PILOT%20-%20M_M%20Industries.pdf" TargetMode="External"/><Relationship Id="rId4" Type="http://schemas.openxmlformats.org/officeDocument/2006/relationships/hyperlink" Target="http://www.chattanooga.gov/city-council-files/OrdinancesAndResolutions/Resolutions/Resolutions%202014/27931%20PILOT%20Chattem%20Chemicals.pdf" TargetMode="External"/><Relationship Id="rId9" Type="http://schemas.openxmlformats.org/officeDocument/2006/relationships/hyperlink" Target="http://www.chattanooga.gov/city-council-files/OrdinancesAndResolutions/Resolutions/Resolutions%202014/27892%20PILOT%20Plastic%20Omnium.pdf" TargetMode="External"/><Relationship Id="rId13" Type="http://schemas.openxmlformats.org/officeDocument/2006/relationships/hyperlink" Target="http://www.chattanooga.gov/city-council-files/OrdinancesAndResolutions/Resolutions/Resolutions%202008/25738%20Auth%20PILOT%20Agmt%20-%20Volkswagen.pdf" TargetMode="External"/><Relationship Id="rId18" Type="http://schemas.openxmlformats.org/officeDocument/2006/relationships/hyperlink" Target="http://www.chattanooga.gov/city-council-files/OrdinancesAndResolutions/Resolutions/Resolutions%202002/23253%20Downtown%20Housing%20Initiative%20.doc" TargetMode="External"/><Relationship Id="rId39" Type="http://schemas.openxmlformats.org/officeDocument/2006/relationships/hyperlink" Target="http://resolutions.hamiltontn.gov/resolutions/2014/714-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S123"/>
  <sheetViews>
    <sheetView tabSelected="1" zoomScaleNormal="100" workbookViewId="0">
      <pane xSplit="5" ySplit="3" topLeftCell="U31" activePane="bottomRight" state="frozen"/>
      <selection activeCell="A2" sqref="A2"/>
      <selection pane="topRight" activeCell="F2" sqref="F2"/>
      <selection pane="bottomLeft" activeCell="A4" sqref="A4"/>
      <selection pane="bottomRight" activeCell="U38" sqref="U38"/>
    </sheetView>
  </sheetViews>
  <sheetFormatPr defaultColWidth="17.28515625" defaultRowHeight="15" customHeight="1" x14ac:dyDescent="0.2"/>
  <cols>
    <col min="1" max="1" width="37.140625" style="22" customWidth="1"/>
    <col min="2" max="2" width="40.140625" style="22" bestFit="1" customWidth="1"/>
    <col min="3" max="3" width="25" style="22" hidden="1" customWidth="1"/>
    <col min="4" max="4" width="13.28515625" style="22" hidden="1" customWidth="1"/>
    <col min="5" max="5" width="26.7109375" style="19" customWidth="1"/>
    <col min="6" max="6" width="10.7109375" style="22" customWidth="1"/>
    <col min="7" max="7" width="11.140625" style="22" customWidth="1"/>
    <col min="8" max="8" width="10.42578125" style="22" customWidth="1"/>
    <col min="9" max="9" width="2.140625" style="6" customWidth="1"/>
    <col min="10" max="10" width="11.140625" style="22" customWidth="1"/>
    <col min="11" max="11" width="11" style="22" customWidth="1"/>
    <col min="12" max="12" width="10.85546875" style="22" customWidth="1"/>
    <col min="13" max="13" width="1.7109375" style="6" customWidth="1"/>
    <col min="14" max="14" width="10.7109375" style="22" customWidth="1"/>
    <col min="15" max="15" width="8.42578125" style="22" customWidth="1"/>
    <col min="16" max="16" width="13.28515625" style="22" customWidth="1"/>
    <col min="17" max="17" width="12.5703125" style="33" customWidth="1"/>
    <col min="18" max="18" width="27" style="29" customWidth="1"/>
    <col min="19" max="19" width="14.5703125" style="3" customWidth="1"/>
    <col min="20" max="20" width="21" style="3" hidden="1" customWidth="1"/>
    <col min="21" max="21" width="17.42578125" style="34" customWidth="1"/>
    <col min="22" max="22" width="1.7109375" style="6" customWidth="1"/>
    <col min="23" max="23" width="13" style="3" customWidth="1"/>
    <col min="24" max="24" width="15" style="3" customWidth="1"/>
    <col min="25" max="25" width="14.85546875" style="3" customWidth="1"/>
    <col min="26" max="26" width="14.28515625" style="3" customWidth="1"/>
    <col min="27" max="27" width="3.7109375" style="6" customWidth="1"/>
    <col min="28" max="28" width="12" style="3" customWidth="1"/>
    <col min="29" max="29" width="14.7109375" style="3" customWidth="1"/>
    <col min="30" max="30" width="14.5703125" style="3" customWidth="1"/>
    <col min="31" max="31" width="13.85546875" style="3" customWidth="1"/>
    <col min="32" max="32" width="15" style="3" customWidth="1"/>
    <col min="33" max="33" width="3.7109375" style="6" customWidth="1"/>
    <col min="34" max="34" width="11.5703125" style="3" customWidth="1"/>
    <col min="35" max="35" width="11.7109375" style="3" customWidth="1"/>
    <col min="36" max="36" width="13.7109375" style="3" customWidth="1"/>
    <col min="37" max="37" width="14" style="3" customWidth="1"/>
    <col min="38" max="38" width="13" style="3" customWidth="1"/>
    <col min="39" max="39" width="17.28515625" style="22"/>
    <col min="40" max="40" width="0" style="22" hidden="1" customWidth="1"/>
    <col min="41" max="16384" width="17.28515625" style="22"/>
  </cols>
  <sheetData>
    <row r="1" spans="1:40" customFormat="1" ht="12.75" x14ac:dyDescent="0.2">
      <c r="A1" s="22"/>
      <c r="E1" s="15"/>
      <c r="I1" s="4"/>
      <c r="M1" s="4"/>
      <c r="N1" s="22"/>
      <c r="O1" s="22"/>
      <c r="Q1" s="32"/>
      <c r="R1" s="27"/>
      <c r="S1" s="1"/>
      <c r="T1" s="1"/>
      <c r="U1" s="34"/>
      <c r="V1" s="4"/>
      <c r="W1" s="2">
        <v>2.2770000000000001</v>
      </c>
      <c r="X1" s="2">
        <f>1.505+0.0099</f>
        <v>1.5148999999999999</v>
      </c>
      <c r="Y1" s="2">
        <v>1.2503</v>
      </c>
      <c r="Z1" s="2"/>
      <c r="AA1" s="4"/>
      <c r="AB1" s="3"/>
      <c r="AC1" s="3"/>
      <c r="AD1" s="3"/>
      <c r="AE1" s="3"/>
      <c r="AF1" s="3"/>
      <c r="AG1" s="4"/>
      <c r="AH1" s="1"/>
      <c r="AI1" s="1"/>
      <c r="AJ1" s="1"/>
      <c r="AK1" s="1"/>
      <c r="AL1" s="1"/>
    </row>
    <row r="2" spans="1:40" customFormat="1" ht="15" customHeight="1" thickBot="1" x14ac:dyDescent="0.25">
      <c r="A2" s="22"/>
      <c r="E2" s="15"/>
      <c r="F2" s="317" t="s">
        <v>58</v>
      </c>
      <c r="G2" s="317"/>
      <c r="H2" s="317"/>
      <c r="I2" s="36"/>
      <c r="J2" s="317" t="s">
        <v>59</v>
      </c>
      <c r="K2" s="317"/>
      <c r="L2" s="317"/>
      <c r="M2" s="36"/>
      <c r="N2" s="22"/>
      <c r="O2" s="22"/>
      <c r="Q2" s="32"/>
      <c r="R2" s="27"/>
      <c r="S2" s="1"/>
      <c r="T2" s="1"/>
      <c r="U2" s="34"/>
      <c r="V2" s="5"/>
      <c r="W2" s="7" t="s">
        <v>47</v>
      </c>
      <c r="X2" s="7"/>
      <c r="Y2" s="7"/>
      <c r="Z2" s="7"/>
      <c r="AA2" s="5"/>
      <c r="AB2" s="318" t="s">
        <v>103</v>
      </c>
      <c r="AC2" s="319"/>
      <c r="AD2" s="319"/>
      <c r="AE2" s="319"/>
      <c r="AF2" s="320"/>
      <c r="AG2" s="5"/>
      <c r="AH2" s="321" t="s">
        <v>53</v>
      </c>
      <c r="AI2" s="322"/>
      <c r="AJ2" s="322"/>
      <c r="AK2" s="322"/>
      <c r="AL2" s="323"/>
    </row>
    <row r="3" spans="1:40" s="15" customFormat="1" ht="24" customHeight="1" x14ac:dyDescent="0.2">
      <c r="A3" s="16" t="s">
        <v>0</v>
      </c>
      <c r="B3" s="8" t="s">
        <v>3</v>
      </c>
      <c r="C3" s="24" t="s">
        <v>8</v>
      </c>
      <c r="D3" s="24" t="s">
        <v>9</v>
      </c>
      <c r="E3" s="8" t="s">
        <v>86</v>
      </c>
      <c r="F3" s="8" t="s">
        <v>76</v>
      </c>
      <c r="G3" s="14" t="s">
        <v>5</v>
      </c>
      <c r="H3" s="14" t="s">
        <v>108</v>
      </c>
      <c r="I3" s="12"/>
      <c r="J3" s="8" t="s">
        <v>76</v>
      </c>
      <c r="K3" s="14" t="s">
        <v>5</v>
      </c>
      <c r="L3" s="14" t="s">
        <v>108</v>
      </c>
      <c r="M3" s="12"/>
      <c r="N3" s="16" t="s">
        <v>6</v>
      </c>
      <c r="O3" s="16" t="s">
        <v>7</v>
      </c>
      <c r="P3" s="16" t="s">
        <v>1</v>
      </c>
      <c r="Q3" s="30" t="s">
        <v>2</v>
      </c>
      <c r="R3" s="16" t="s">
        <v>124</v>
      </c>
      <c r="S3" s="12" t="s">
        <v>164</v>
      </c>
      <c r="T3" s="9" t="s">
        <v>4</v>
      </c>
      <c r="U3" s="12" t="s">
        <v>46</v>
      </c>
      <c r="V3" s="12"/>
      <c r="W3" s="11" t="s">
        <v>48</v>
      </c>
      <c r="X3" s="11" t="s">
        <v>49</v>
      </c>
      <c r="Y3" s="11" t="s">
        <v>50</v>
      </c>
      <c r="Z3" s="10" t="s">
        <v>52</v>
      </c>
      <c r="AA3" s="12"/>
      <c r="AB3" s="21" t="s">
        <v>204</v>
      </c>
      <c r="AC3" s="21" t="s">
        <v>205</v>
      </c>
      <c r="AD3" s="21" t="s">
        <v>206</v>
      </c>
      <c r="AE3" s="21" t="s">
        <v>107</v>
      </c>
      <c r="AF3" s="21" t="s">
        <v>104</v>
      </c>
      <c r="AG3" s="12"/>
      <c r="AH3" s="13" t="s">
        <v>54</v>
      </c>
      <c r="AI3" s="13" t="s">
        <v>55</v>
      </c>
      <c r="AJ3" s="13" t="s">
        <v>56</v>
      </c>
      <c r="AK3" s="13" t="s">
        <v>107</v>
      </c>
      <c r="AL3" s="13" t="s">
        <v>57</v>
      </c>
    </row>
    <row r="4" spans="1:40" s="19" customFormat="1" ht="38.25" customHeight="1" x14ac:dyDescent="0.25">
      <c r="A4" s="20" t="s">
        <v>60</v>
      </c>
      <c r="B4" s="16"/>
      <c r="C4" s="16"/>
      <c r="D4" s="16"/>
      <c r="E4" s="16"/>
      <c r="F4" s="16"/>
      <c r="G4" s="17"/>
      <c r="H4" s="17"/>
      <c r="I4" s="12"/>
      <c r="J4" s="16"/>
      <c r="K4" s="17"/>
      <c r="L4" s="17"/>
      <c r="M4" s="12"/>
      <c r="N4" s="16"/>
      <c r="O4" s="16"/>
      <c r="P4" s="16"/>
      <c r="Q4" s="30"/>
      <c r="R4" s="28"/>
      <c r="S4" s="12"/>
      <c r="T4" s="12"/>
      <c r="U4" s="259"/>
      <c r="V4" s="12"/>
      <c r="W4" s="18"/>
      <c r="X4" s="18"/>
      <c r="Y4" s="18"/>
      <c r="Z4" s="12"/>
      <c r="AA4" s="12"/>
      <c r="AB4" s="18"/>
      <c r="AC4" s="18"/>
      <c r="AD4" s="18"/>
      <c r="AE4" s="253"/>
      <c r="AF4" s="12"/>
      <c r="AG4" s="12"/>
      <c r="AH4" s="35"/>
      <c r="AI4" s="12"/>
      <c r="AJ4" s="12"/>
      <c r="AK4" s="12"/>
      <c r="AL4" s="12"/>
    </row>
    <row r="5" spans="1:40" s="58" customFormat="1" ht="25.5" customHeight="1" x14ac:dyDescent="0.2">
      <c r="A5" s="40" t="s">
        <v>27</v>
      </c>
      <c r="B5" s="41" t="s">
        <v>28</v>
      </c>
      <c r="C5" s="42">
        <v>35.068630239999997</v>
      </c>
      <c r="D5" s="42">
        <v>-85.142667220000007</v>
      </c>
      <c r="E5" s="43" t="s">
        <v>87</v>
      </c>
      <c r="F5" s="42">
        <v>26502</v>
      </c>
      <c r="G5" s="44">
        <v>40512</v>
      </c>
      <c r="H5" s="45" t="s">
        <v>109</v>
      </c>
      <c r="I5" s="46"/>
      <c r="J5" s="42" t="s">
        <v>64</v>
      </c>
      <c r="K5" s="44">
        <v>40513</v>
      </c>
      <c r="L5" s="254" t="s">
        <v>109</v>
      </c>
      <c r="M5" s="46"/>
      <c r="N5" s="47">
        <v>2012</v>
      </c>
      <c r="O5" s="47">
        <v>2022</v>
      </c>
      <c r="P5" s="48">
        <v>1249</v>
      </c>
      <c r="Q5" s="49">
        <v>30500</v>
      </c>
      <c r="R5" s="50" t="s">
        <v>180</v>
      </c>
      <c r="S5" s="51">
        <v>91000000</v>
      </c>
      <c r="T5" s="51"/>
      <c r="U5" s="46">
        <v>5264079</v>
      </c>
      <c r="V5" s="46"/>
      <c r="W5" s="52">
        <f t="shared" ref="W5:Y12" si="0">+$U5*W$1/100</f>
        <v>119863.07883000001</v>
      </c>
      <c r="X5" s="52">
        <f t="shared" si="0"/>
        <v>79745.532770999998</v>
      </c>
      <c r="Y5" s="52">
        <f>ROUND(+$U5*Y$1/100,2)</f>
        <v>65816.78</v>
      </c>
      <c r="Z5" s="52">
        <f t="shared" ref="Z5:Z21" si="1">+W5+X5+Y5</f>
        <v>265425.39160099998</v>
      </c>
      <c r="AA5" s="46"/>
      <c r="AB5" s="53">
        <v>0</v>
      </c>
      <c r="AC5" s="54">
        <v>0</v>
      </c>
      <c r="AD5" s="54">
        <f>Y5</f>
        <v>65816.78</v>
      </c>
      <c r="AE5" s="54"/>
      <c r="AF5" s="54">
        <f t="shared" ref="AF5:AF21" si="2">+AB5+AC5+AD5+AE5</f>
        <v>65816.78</v>
      </c>
      <c r="AG5" s="286"/>
      <c r="AH5" s="55">
        <f t="shared" ref="AH5:AJ21" si="3">+W5-AB5</f>
        <v>119863.07883000001</v>
      </c>
      <c r="AI5" s="56">
        <f t="shared" si="3"/>
        <v>79745.532770999998</v>
      </c>
      <c r="AJ5" s="57">
        <f t="shared" si="3"/>
        <v>0</v>
      </c>
      <c r="AK5" s="56">
        <f t="shared" ref="AK5:AK21" si="4">-AE5</f>
        <v>0</v>
      </c>
      <c r="AL5" s="56">
        <f t="shared" ref="AL5:AL21" si="5">+Z5-AF5</f>
        <v>199608.61160099998</v>
      </c>
    </row>
    <row r="6" spans="1:40" s="58" customFormat="1" ht="25.5" customHeight="1" x14ac:dyDescent="0.2">
      <c r="A6" s="59" t="s">
        <v>168</v>
      </c>
      <c r="B6" s="60" t="s">
        <v>29</v>
      </c>
      <c r="C6" s="61">
        <v>35.069798300000002</v>
      </c>
      <c r="D6" s="61">
        <v>-85.135412052999996</v>
      </c>
      <c r="E6" s="62" t="s">
        <v>88</v>
      </c>
      <c r="F6" s="61">
        <v>26502</v>
      </c>
      <c r="G6" s="63">
        <v>40512</v>
      </c>
      <c r="H6" s="64" t="s">
        <v>109</v>
      </c>
      <c r="I6" s="65"/>
      <c r="J6" s="61" t="s">
        <v>64</v>
      </c>
      <c r="K6" s="63">
        <v>40513</v>
      </c>
      <c r="L6" s="164" t="s">
        <v>109</v>
      </c>
      <c r="M6" s="65"/>
      <c r="N6" s="66">
        <v>2012</v>
      </c>
      <c r="O6" s="66">
        <v>2022</v>
      </c>
      <c r="P6" s="67">
        <v>1249</v>
      </c>
      <c r="Q6" s="68">
        <v>30500</v>
      </c>
      <c r="R6" s="50" t="s">
        <v>181</v>
      </c>
      <c r="S6" s="70">
        <f>51000000+40000000</f>
        <v>91000000</v>
      </c>
      <c r="T6" s="70"/>
      <c r="U6" s="223">
        <v>26128360</v>
      </c>
      <c r="V6" s="65"/>
      <c r="W6" s="71">
        <f>+$U6*W$1/100</f>
        <v>594942.75720000011</v>
      </c>
      <c r="X6" s="71">
        <f>+$U6*X$1/100</f>
        <v>395818.52563999995</v>
      </c>
      <c r="Y6" s="71">
        <f>+$U6*Y$1/100</f>
        <v>326682.88507999998</v>
      </c>
      <c r="Z6" s="71">
        <f>+W6+X6+Y6</f>
        <v>1317444.1679199999</v>
      </c>
      <c r="AA6" s="65"/>
      <c r="AB6" s="72">
        <v>0</v>
      </c>
      <c r="AC6" s="73">
        <v>0</v>
      </c>
      <c r="AD6" s="73">
        <f>Y6</f>
        <v>326682.88507999998</v>
      </c>
      <c r="AE6" s="73"/>
      <c r="AF6" s="73">
        <f>+AB6+AC6+AD6+AE6</f>
        <v>326682.88507999998</v>
      </c>
      <c r="AG6" s="281"/>
      <c r="AH6" s="74">
        <f>+W6-AB6</f>
        <v>594942.75720000011</v>
      </c>
      <c r="AI6" s="75">
        <f>+X6-AC6</f>
        <v>395818.52563999995</v>
      </c>
      <c r="AJ6" s="75">
        <f>+Y6-AD6</f>
        <v>0</v>
      </c>
      <c r="AK6" s="75">
        <f>-AE6</f>
        <v>0</v>
      </c>
      <c r="AL6" s="75">
        <f>+Z6-AF6</f>
        <v>990761.28284</v>
      </c>
    </row>
    <row r="7" spans="1:40" s="58" customFormat="1" ht="25.5" customHeight="1" x14ac:dyDescent="0.2">
      <c r="A7" s="79" t="s">
        <v>169</v>
      </c>
      <c r="B7" s="80" t="s">
        <v>170</v>
      </c>
      <c r="C7" s="81">
        <v>35.052216000000001</v>
      </c>
      <c r="D7" s="81">
        <v>-85.317967999999993</v>
      </c>
      <c r="E7" s="82" t="s">
        <v>171</v>
      </c>
      <c r="F7" s="81">
        <v>24361</v>
      </c>
      <c r="G7" s="83">
        <v>38433</v>
      </c>
      <c r="H7" s="84" t="s">
        <v>109</v>
      </c>
      <c r="I7" s="85"/>
      <c r="J7" s="86" t="s">
        <v>172</v>
      </c>
      <c r="K7" s="87">
        <v>38434</v>
      </c>
      <c r="L7" s="88" t="s">
        <v>109</v>
      </c>
      <c r="M7" s="85"/>
      <c r="N7" s="89">
        <v>2010</v>
      </c>
      <c r="O7" s="89">
        <v>2025</v>
      </c>
      <c r="P7" s="90"/>
      <c r="Q7" s="91"/>
      <c r="R7" s="92" t="s">
        <v>10</v>
      </c>
      <c r="S7" s="93"/>
      <c r="T7" s="93"/>
      <c r="U7" s="260">
        <f>36303760+40705200+412320+8108765</f>
        <v>85530045</v>
      </c>
      <c r="V7" s="85"/>
      <c r="W7" s="94">
        <f t="shared" ref="W7:Y7" si="6">+$U7*W$1/100</f>
        <v>1947519.1246500001</v>
      </c>
      <c r="X7" s="94">
        <f t="shared" si="6"/>
        <v>1295694.6517049999</v>
      </c>
      <c r="Y7" s="94">
        <f t="shared" si="6"/>
        <v>1069382.1526349999</v>
      </c>
      <c r="Z7" s="94">
        <f t="shared" ref="Z7" si="7">+W7+X7+Y7</f>
        <v>4312595.9289899999</v>
      </c>
      <c r="AA7" s="85"/>
      <c r="AB7" s="95">
        <f t="shared" ref="AB7:AD7" si="8">W7/2</f>
        <v>973759.56232500006</v>
      </c>
      <c r="AC7" s="95">
        <f t="shared" si="8"/>
        <v>647847.32585249993</v>
      </c>
      <c r="AD7" s="95">
        <f t="shared" si="8"/>
        <v>534691.07631749997</v>
      </c>
      <c r="AE7" s="96"/>
      <c r="AF7" s="96">
        <f t="shared" ref="AF7" si="9">+AB7+AC7+AD7+AE7</f>
        <v>2156297.964495</v>
      </c>
      <c r="AG7" s="85"/>
      <c r="AH7" s="97">
        <f t="shared" ref="AH7:AJ7" si="10">+W7-AB7</f>
        <v>973759.56232500006</v>
      </c>
      <c r="AI7" s="97">
        <f t="shared" si="10"/>
        <v>647847.32585249993</v>
      </c>
      <c r="AJ7" s="97">
        <f t="shared" si="10"/>
        <v>534691.07631749997</v>
      </c>
      <c r="AK7" s="97">
        <f t="shared" ref="AK7" si="11">-AE7</f>
        <v>0</v>
      </c>
      <c r="AL7" s="97">
        <f t="shared" ref="AL7" si="12">+Z7-AF7</f>
        <v>2156297.964495</v>
      </c>
    </row>
    <row r="8" spans="1:40" s="58" customFormat="1" ht="25.5" customHeight="1" x14ac:dyDescent="0.2">
      <c r="A8" s="59" t="s">
        <v>84</v>
      </c>
      <c r="B8" s="60" t="s">
        <v>11</v>
      </c>
      <c r="C8" s="61">
        <v>35.016125000000002</v>
      </c>
      <c r="D8" s="61">
        <v>-85.321560000000005</v>
      </c>
      <c r="E8" s="62" t="s">
        <v>90</v>
      </c>
      <c r="F8" s="61">
        <v>25762</v>
      </c>
      <c r="G8" s="63">
        <v>39791</v>
      </c>
      <c r="H8" s="64" t="s">
        <v>109</v>
      </c>
      <c r="I8" s="65"/>
      <c r="J8" s="61" t="s">
        <v>68</v>
      </c>
      <c r="K8" s="63">
        <v>39799</v>
      </c>
      <c r="L8" s="164" t="s">
        <v>109</v>
      </c>
      <c r="M8" s="65"/>
      <c r="N8" s="66">
        <v>2009</v>
      </c>
      <c r="O8" s="66">
        <v>2011</v>
      </c>
      <c r="P8" s="98">
        <v>33</v>
      </c>
      <c r="Q8" s="68">
        <v>23000</v>
      </c>
      <c r="R8" s="69"/>
      <c r="S8" s="70">
        <v>7000000</v>
      </c>
      <c r="T8" s="70"/>
      <c r="U8" s="99">
        <f>1026720+1803980</f>
        <v>2830700</v>
      </c>
      <c r="V8" s="65"/>
      <c r="W8" s="71">
        <f t="shared" si="0"/>
        <v>64455.039000000004</v>
      </c>
      <c r="X8" s="71">
        <f t="shared" si="0"/>
        <v>42882.274299999997</v>
      </c>
      <c r="Y8" s="71">
        <f t="shared" si="0"/>
        <v>35392.242100000003</v>
      </c>
      <c r="Z8" s="71">
        <f t="shared" si="1"/>
        <v>142729.55540000001</v>
      </c>
      <c r="AA8" s="65"/>
      <c r="AB8" s="72">
        <f>+W8</f>
        <v>64455.039000000004</v>
      </c>
      <c r="AC8" s="100">
        <f>+X8</f>
        <v>42882.274299999997</v>
      </c>
      <c r="AD8" s="100">
        <f>+Y8</f>
        <v>35392.242100000003</v>
      </c>
      <c r="AE8" s="73"/>
      <c r="AF8" s="73">
        <f t="shared" si="2"/>
        <v>142729.55540000001</v>
      </c>
      <c r="AG8" s="281"/>
      <c r="AH8" s="74">
        <f t="shared" si="3"/>
        <v>0</v>
      </c>
      <c r="AI8" s="75">
        <f t="shared" si="3"/>
        <v>0</v>
      </c>
      <c r="AJ8" s="75">
        <f t="shared" si="3"/>
        <v>0</v>
      </c>
      <c r="AK8" s="75">
        <f t="shared" si="4"/>
        <v>0</v>
      </c>
      <c r="AL8" s="75">
        <f t="shared" si="5"/>
        <v>0</v>
      </c>
    </row>
    <row r="9" spans="1:40" s="58" customFormat="1" ht="25.5" customHeight="1" x14ac:dyDescent="0.2">
      <c r="A9" s="59" t="s">
        <v>85</v>
      </c>
      <c r="B9" s="60" t="s">
        <v>11</v>
      </c>
      <c r="C9" s="61">
        <v>35.016125000000002</v>
      </c>
      <c r="D9" s="61">
        <v>-85.321560000000005</v>
      </c>
      <c r="E9" s="62" t="s">
        <v>91</v>
      </c>
      <c r="F9" s="61">
        <v>25968</v>
      </c>
      <c r="G9" s="63">
        <v>39987</v>
      </c>
      <c r="H9" s="64" t="s">
        <v>109</v>
      </c>
      <c r="I9" s="65"/>
      <c r="J9" s="61" t="s">
        <v>66</v>
      </c>
      <c r="K9" s="63">
        <v>39967</v>
      </c>
      <c r="L9" s="164" t="s">
        <v>109</v>
      </c>
      <c r="M9" s="65"/>
      <c r="N9" s="66">
        <v>2011</v>
      </c>
      <c r="O9" s="66">
        <v>2018</v>
      </c>
      <c r="P9" s="98">
        <v>60</v>
      </c>
      <c r="Q9" s="68">
        <v>29000</v>
      </c>
      <c r="R9" s="69"/>
      <c r="S9" s="70">
        <f>10800000+24700000</f>
        <v>35500000</v>
      </c>
      <c r="T9" s="70"/>
      <c r="U9" s="99">
        <f>2292100+1402810</f>
        <v>3694910</v>
      </c>
      <c r="V9" s="65"/>
      <c r="W9" s="71">
        <f t="shared" si="0"/>
        <v>84133.10070000001</v>
      </c>
      <c r="X9" s="71">
        <f t="shared" si="0"/>
        <v>55974.191590000002</v>
      </c>
      <c r="Y9" s="71">
        <f>ROUND(+$U9*Y$1/100,0)</f>
        <v>46197</v>
      </c>
      <c r="Z9" s="71">
        <f t="shared" si="1"/>
        <v>186304.29229000001</v>
      </c>
      <c r="AA9" s="65"/>
      <c r="AB9" s="72">
        <v>0</v>
      </c>
      <c r="AC9" s="73">
        <v>0</v>
      </c>
      <c r="AD9" s="73">
        <f>ROUND(28658.13+17539.33,0)</f>
        <v>46197</v>
      </c>
      <c r="AE9" s="73"/>
      <c r="AF9" s="73">
        <f t="shared" si="2"/>
        <v>46197</v>
      </c>
      <c r="AG9" s="281"/>
      <c r="AH9" s="74">
        <f t="shared" si="3"/>
        <v>84133.10070000001</v>
      </c>
      <c r="AI9" s="75">
        <f t="shared" si="3"/>
        <v>55974.191590000002</v>
      </c>
      <c r="AJ9" s="75">
        <f t="shared" si="3"/>
        <v>0</v>
      </c>
      <c r="AK9" s="75">
        <f t="shared" si="4"/>
        <v>0</v>
      </c>
      <c r="AL9" s="75">
        <f t="shared" si="5"/>
        <v>140107.29229000001</v>
      </c>
    </row>
    <row r="10" spans="1:40" s="58" customFormat="1" ht="25.5" customHeight="1" x14ac:dyDescent="0.2">
      <c r="A10" s="59" t="s">
        <v>83</v>
      </c>
      <c r="B10" s="60" t="s">
        <v>11</v>
      </c>
      <c r="C10" s="61"/>
      <c r="D10" s="61"/>
      <c r="E10" s="62"/>
      <c r="F10" s="61">
        <v>27931</v>
      </c>
      <c r="G10" s="63">
        <v>41838</v>
      </c>
      <c r="H10" s="64" t="s">
        <v>109</v>
      </c>
      <c r="I10" s="65"/>
      <c r="J10" s="61" t="s">
        <v>67</v>
      </c>
      <c r="K10" s="63">
        <v>41822</v>
      </c>
      <c r="L10" s="164" t="s">
        <v>109</v>
      </c>
      <c r="M10" s="65"/>
      <c r="N10" s="66">
        <v>2016</v>
      </c>
      <c r="O10" s="66">
        <v>2019</v>
      </c>
      <c r="P10" s="98">
        <v>25</v>
      </c>
      <c r="Q10" s="68">
        <v>43500</v>
      </c>
      <c r="R10" s="69"/>
      <c r="S10" s="70">
        <v>6000000</v>
      </c>
      <c r="T10" s="70"/>
      <c r="U10" s="223"/>
      <c r="V10" s="65"/>
      <c r="W10" s="71">
        <f t="shared" si="0"/>
        <v>0</v>
      </c>
      <c r="X10" s="71">
        <f t="shared" si="0"/>
        <v>0</v>
      </c>
      <c r="Y10" s="71">
        <f t="shared" si="0"/>
        <v>0</v>
      </c>
      <c r="Z10" s="71">
        <f t="shared" si="1"/>
        <v>0</v>
      </c>
      <c r="AA10" s="65"/>
      <c r="AB10" s="73">
        <v>0</v>
      </c>
      <c r="AC10" s="73">
        <v>0</v>
      </c>
      <c r="AD10" s="73">
        <v>0</v>
      </c>
      <c r="AE10" s="73"/>
      <c r="AF10" s="73">
        <f t="shared" si="2"/>
        <v>0</v>
      </c>
      <c r="AG10" s="281"/>
      <c r="AH10" s="74">
        <f t="shared" si="3"/>
        <v>0</v>
      </c>
      <c r="AI10" s="75">
        <f t="shared" si="3"/>
        <v>0</v>
      </c>
      <c r="AJ10" s="75">
        <f t="shared" si="3"/>
        <v>0</v>
      </c>
      <c r="AK10" s="75">
        <f t="shared" si="4"/>
        <v>0</v>
      </c>
      <c r="AL10" s="75">
        <f t="shared" si="5"/>
        <v>0</v>
      </c>
    </row>
    <row r="11" spans="1:40" s="58" customFormat="1" ht="25.5" customHeight="1" x14ac:dyDescent="0.2">
      <c r="A11" s="59" t="s">
        <v>111</v>
      </c>
      <c r="B11" s="60" t="s">
        <v>12</v>
      </c>
      <c r="C11" s="61">
        <v>35.047637000000002</v>
      </c>
      <c r="D11" s="61">
        <v>-85.186363</v>
      </c>
      <c r="E11" s="62" t="s">
        <v>154</v>
      </c>
      <c r="F11" s="61">
        <v>27804</v>
      </c>
      <c r="G11" s="63">
        <v>41709</v>
      </c>
      <c r="H11" s="64" t="s">
        <v>109</v>
      </c>
      <c r="I11" s="65"/>
      <c r="J11" s="66" t="s">
        <v>102</v>
      </c>
      <c r="K11" s="101">
        <v>41717</v>
      </c>
      <c r="L11" s="164" t="s">
        <v>109</v>
      </c>
      <c r="M11" s="65"/>
      <c r="N11" s="66">
        <v>2016</v>
      </c>
      <c r="O11" s="66">
        <v>2027</v>
      </c>
      <c r="P11" s="76">
        <f>43+270</f>
        <v>313</v>
      </c>
      <c r="Q11" s="68">
        <v>45000</v>
      </c>
      <c r="R11" s="69" t="s">
        <v>228</v>
      </c>
      <c r="S11" s="70">
        <v>62000000</v>
      </c>
      <c r="T11" s="70"/>
      <c r="U11" s="223">
        <f>17694680+4050026</f>
        <v>21744706</v>
      </c>
      <c r="V11" s="65"/>
      <c r="W11" s="71">
        <f>+$U11*W$1/100</f>
        <v>495126.95562000008</v>
      </c>
      <c r="X11" s="71">
        <f t="shared" si="0"/>
        <v>329410.551194</v>
      </c>
      <c r="Y11" s="71">
        <f>+$U11*Y$1/100</f>
        <v>271874.05911800003</v>
      </c>
      <c r="Z11" s="71">
        <f t="shared" si="1"/>
        <v>1096411.5659320001</v>
      </c>
      <c r="AA11" s="65"/>
      <c r="AB11" s="73">
        <f>W11*0.2</f>
        <v>99025.391124000016</v>
      </c>
      <c r="AC11" s="73">
        <f>X11*0.2</f>
        <v>65882.1102388</v>
      </c>
      <c r="AD11" s="73">
        <f>Y11</f>
        <v>271874.05911800003</v>
      </c>
      <c r="AE11" s="73">
        <f>SUM(W11:X11)*0.05</f>
        <v>41226.875340700004</v>
      </c>
      <c r="AF11" s="73">
        <f t="shared" si="2"/>
        <v>478008.43582150002</v>
      </c>
      <c r="AG11" s="281"/>
      <c r="AH11" s="74">
        <f t="shared" si="3"/>
        <v>396101.56449600006</v>
      </c>
      <c r="AI11" s="75">
        <f t="shared" si="3"/>
        <v>263528.4409552</v>
      </c>
      <c r="AJ11" s="75">
        <f t="shared" si="3"/>
        <v>0</v>
      </c>
      <c r="AK11" s="75">
        <f t="shared" si="4"/>
        <v>-41226.875340700004</v>
      </c>
      <c r="AL11" s="75">
        <f t="shared" si="5"/>
        <v>618403.13011050003</v>
      </c>
    </row>
    <row r="12" spans="1:40" s="58" customFormat="1" ht="25.5" customHeight="1" x14ac:dyDescent="0.2">
      <c r="A12" s="262" t="s">
        <v>117</v>
      </c>
      <c r="B12" s="151"/>
      <c r="C12" s="263"/>
      <c r="D12" s="263"/>
      <c r="E12" s="156" t="s">
        <v>222</v>
      </c>
      <c r="F12" s="61">
        <v>28302</v>
      </c>
      <c r="G12" s="63">
        <v>42185</v>
      </c>
      <c r="H12" s="107" t="s">
        <v>109</v>
      </c>
      <c r="I12" s="65"/>
      <c r="J12" s="62" t="s">
        <v>130</v>
      </c>
      <c r="K12" s="108">
        <v>42186</v>
      </c>
      <c r="L12" s="162" t="s">
        <v>109</v>
      </c>
      <c r="M12" s="65"/>
      <c r="N12" s="66">
        <v>2017</v>
      </c>
      <c r="O12" s="66">
        <v>2026</v>
      </c>
      <c r="P12" s="98">
        <v>136</v>
      </c>
      <c r="Q12" s="68"/>
      <c r="R12" s="69"/>
      <c r="S12" s="70">
        <v>39100000</v>
      </c>
      <c r="T12" s="70"/>
      <c r="U12" s="223">
        <f>15619800+8770526</f>
        <v>24390326</v>
      </c>
      <c r="V12" s="65"/>
      <c r="W12" s="264">
        <f>+$U12*W$1/100</f>
        <v>555367.72302000003</v>
      </c>
      <c r="X12" s="264">
        <f t="shared" si="0"/>
        <v>369489.04857400001</v>
      </c>
      <c r="Y12" s="264">
        <f>+$U12*Y$1/100</f>
        <v>304952.24597799999</v>
      </c>
      <c r="Z12" s="264">
        <f t="shared" ref="Z12" si="13">+W12+X12+Y12</f>
        <v>1229809.0175720002</v>
      </c>
      <c r="AA12" s="65"/>
      <c r="AB12" s="310">
        <f>W12*0.25</f>
        <v>138841.93075500001</v>
      </c>
      <c r="AC12" s="109">
        <f>X12*0.25</f>
        <v>92372.262143500004</v>
      </c>
      <c r="AD12" s="73">
        <f>Y12</f>
        <v>304952.24597799999</v>
      </c>
      <c r="AE12" s="283">
        <f>SUM(X12:Y12)*0.1253+SUM(W12*0.15)</f>
        <v>167812.65266036559</v>
      </c>
      <c r="AF12" s="73">
        <f>SUM(AB12:AE12)</f>
        <v>703979.09153686557</v>
      </c>
      <c r="AG12" s="281"/>
      <c r="AH12" s="284">
        <f t="shared" ref="AH12:AH13" si="14">+W12-AB12</f>
        <v>416525.79226500005</v>
      </c>
      <c r="AI12" s="282">
        <f t="shared" ref="AI12:AI13" si="15">+X12-AC12</f>
        <v>277116.78643049998</v>
      </c>
      <c r="AJ12" s="282">
        <f t="shared" ref="AJ12:AJ13" si="16">+Y12-AD12</f>
        <v>0</v>
      </c>
      <c r="AK12" s="282">
        <f t="shared" ref="AK12:AK13" si="17">-AE12</f>
        <v>-167812.65266036559</v>
      </c>
      <c r="AL12" s="75">
        <f t="shared" si="5"/>
        <v>525829.92603513459</v>
      </c>
      <c r="AM12" s="110"/>
    </row>
    <row r="13" spans="1:40" s="58" customFormat="1" ht="25.5" customHeight="1" x14ac:dyDescent="0.2">
      <c r="A13" s="103" t="s">
        <v>173</v>
      </c>
      <c r="B13" s="104"/>
      <c r="C13" s="105"/>
      <c r="D13" s="105"/>
      <c r="E13" s="106"/>
      <c r="F13" s="61">
        <v>29035</v>
      </c>
      <c r="G13" s="63">
        <v>42871</v>
      </c>
      <c r="H13" s="107" t="s">
        <v>109</v>
      </c>
      <c r="I13" s="65"/>
      <c r="J13" s="62" t="s">
        <v>174</v>
      </c>
      <c r="K13" s="108">
        <v>42872</v>
      </c>
      <c r="L13" s="162" t="s">
        <v>109</v>
      </c>
      <c r="M13" s="65"/>
      <c r="N13" s="66">
        <v>2019</v>
      </c>
      <c r="O13" s="66">
        <v>2023</v>
      </c>
      <c r="P13" s="98">
        <v>192</v>
      </c>
      <c r="Q13" s="68">
        <v>39250</v>
      </c>
      <c r="R13" s="69"/>
      <c r="S13" s="70">
        <v>5700000</v>
      </c>
      <c r="T13" s="70"/>
      <c r="U13" s="223"/>
      <c r="V13" s="65"/>
      <c r="W13" s="71"/>
      <c r="X13" s="71"/>
      <c r="Y13" s="71"/>
      <c r="Z13" s="71"/>
      <c r="AA13" s="65"/>
      <c r="AB13" s="72"/>
      <c r="AC13" s="109"/>
      <c r="AD13" s="73"/>
      <c r="AE13" s="73"/>
      <c r="AF13" s="73"/>
      <c r="AG13" s="281"/>
      <c r="AH13" s="284">
        <f t="shared" si="14"/>
        <v>0</v>
      </c>
      <c r="AI13" s="282">
        <f t="shared" si="15"/>
        <v>0</v>
      </c>
      <c r="AJ13" s="282">
        <f t="shared" si="16"/>
        <v>0</v>
      </c>
      <c r="AK13" s="282">
        <f t="shared" si="17"/>
        <v>0</v>
      </c>
      <c r="AL13" s="282">
        <f t="shared" si="5"/>
        <v>0</v>
      </c>
      <c r="AM13" s="110"/>
    </row>
    <row r="14" spans="1:40" s="58" customFormat="1" ht="25.5" customHeight="1" x14ac:dyDescent="0.2">
      <c r="A14" s="59" t="s">
        <v>14</v>
      </c>
      <c r="B14" s="60" t="s">
        <v>15</v>
      </c>
      <c r="C14" s="61">
        <v>35.030859</v>
      </c>
      <c r="D14" s="61">
        <v>-85.161440999999996</v>
      </c>
      <c r="E14" s="62" t="s">
        <v>92</v>
      </c>
      <c r="F14" s="61">
        <v>25042</v>
      </c>
      <c r="G14" s="63">
        <v>39133</v>
      </c>
      <c r="H14" s="64" t="s">
        <v>109</v>
      </c>
      <c r="I14" s="65"/>
      <c r="J14" s="61" t="s">
        <v>69</v>
      </c>
      <c r="K14" s="63">
        <v>39134</v>
      </c>
      <c r="L14" s="164" t="s">
        <v>109</v>
      </c>
      <c r="M14" s="65"/>
      <c r="N14" s="66">
        <v>2008</v>
      </c>
      <c r="O14" s="66">
        <v>2020</v>
      </c>
      <c r="P14" s="98">
        <v>104</v>
      </c>
      <c r="Q14" s="68">
        <v>56500</v>
      </c>
      <c r="R14" s="69"/>
      <c r="S14" s="70">
        <v>11000000</v>
      </c>
      <c r="T14" s="70"/>
      <c r="U14" s="223">
        <f>4419480+67201</f>
        <v>4486681</v>
      </c>
      <c r="V14" s="65"/>
      <c r="W14" s="71">
        <f t="shared" ref="W14:Y20" si="18">+$U14*W$1/100</f>
        <v>102161.72637</v>
      </c>
      <c r="X14" s="71">
        <f t="shared" si="18"/>
        <v>67968.730469000002</v>
      </c>
      <c r="Y14" s="71">
        <f t="shared" si="18"/>
        <v>56096.972543000003</v>
      </c>
      <c r="Z14" s="71">
        <f t="shared" si="1"/>
        <v>226227.429382</v>
      </c>
      <c r="AA14" s="65"/>
      <c r="AB14" s="77">
        <f t="shared" ref="AB14:AD14" si="19">W14/2</f>
        <v>51080.863185000002</v>
      </c>
      <c r="AC14" s="77">
        <f t="shared" si="19"/>
        <v>33984.365234500001</v>
      </c>
      <c r="AD14" s="77">
        <f t="shared" si="19"/>
        <v>28048.486271500002</v>
      </c>
      <c r="AE14" s="73"/>
      <c r="AF14" s="73">
        <f t="shared" si="2"/>
        <v>113113.714691</v>
      </c>
      <c r="AG14" s="281"/>
      <c r="AH14" s="74">
        <f t="shared" si="3"/>
        <v>51080.863185000002</v>
      </c>
      <c r="AI14" s="75">
        <f t="shared" si="3"/>
        <v>33984.365234500001</v>
      </c>
      <c r="AJ14" s="75">
        <f t="shared" si="3"/>
        <v>28048.486271500002</v>
      </c>
      <c r="AK14" s="75">
        <f t="shared" si="4"/>
        <v>0</v>
      </c>
      <c r="AL14" s="75">
        <f t="shared" si="5"/>
        <v>113113.714691</v>
      </c>
    </row>
    <row r="15" spans="1:40" s="58" customFormat="1" ht="25.5" customHeight="1" x14ac:dyDescent="0.2">
      <c r="A15" s="59" t="s">
        <v>16</v>
      </c>
      <c r="B15" s="60" t="s">
        <v>17</v>
      </c>
      <c r="C15" s="61">
        <v>35.077647599999999</v>
      </c>
      <c r="D15" s="61">
        <v>-85.153917399999997</v>
      </c>
      <c r="E15" s="62" t="s">
        <v>143</v>
      </c>
      <c r="F15" s="61">
        <v>27892</v>
      </c>
      <c r="G15" s="63">
        <v>41793</v>
      </c>
      <c r="H15" s="64" t="s">
        <v>109</v>
      </c>
      <c r="I15" s="65"/>
      <c r="J15" s="61" t="s">
        <v>71</v>
      </c>
      <c r="K15" s="63">
        <v>41794</v>
      </c>
      <c r="L15" s="164" t="s">
        <v>109</v>
      </c>
      <c r="M15" s="65"/>
      <c r="N15" s="66">
        <v>2014</v>
      </c>
      <c r="O15" s="66">
        <v>2025</v>
      </c>
      <c r="P15" s="76">
        <v>250</v>
      </c>
      <c r="Q15" s="68">
        <v>44699</v>
      </c>
      <c r="R15" s="69"/>
      <c r="S15" s="70">
        <v>50000000</v>
      </c>
      <c r="T15" s="70"/>
      <c r="U15" s="223">
        <f>8151880+9355837</f>
        <v>17507717</v>
      </c>
      <c r="V15" s="65"/>
      <c r="W15" s="71">
        <f t="shared" si="18"/>
        <v>398650.71609000006</v>
      </c>
      <c r="X15" s="71">
        <f t="shared" si="18"/>
        <v>265224.40483299998</v>
      </c>
      <c r="Y15" s="71">
        <f t="shared" si="18"/>
        <v>218898.985651</v>
      </c>
      <c r="Z15" s="71">
        <f t="shared" si="1"/>
        <v>882774.10657400009</v>
      </c>
      <c r="AA15" s="65"/>
      <c r="AB15" s="72">
        <f>74247.32+85212.96</f>
        <v>159460.28000000003</v>
      </c>
      <c r="AC15" s="72">
        <f>49397.13+56692.63</f>
        <v>106089.76</v>
      </c>
      <c r="AD15" s="72">
        <f>Y15</f>
        <v>218898.985651</v>
      </c>
      <c r="AE15" s="283">
        <f>SUM(W15:X15)*0.15</f>
        <v>99581.268138450003</v>
      </c>
      <c r="AF15" s="73">
        <f t="shared" si="2"/>
        <v>584030.29378945008</v>
      </c>
      <c r="AG15" s="281"/>
      <c r="AH15" s="74">
        <f t="shared" si="3"/>
        <v>239190.43609000003</v>
      </c>
      <c r="AI15" s="75">
        <f t="shared" si="3"/>
        <v>159134.64483299997</v>
      </c>
      <c r="AJ15" s="75">
        <f t="shared" si="3"/>
        <v>0</v>
      </c>
      <c r="AK15" s="75">
        <f t="shared" si="4"/>
        <v>-99581.268138450003</v>
      </c>
      <c r="AL15" s="75">
        <f t="shared" si="5"/>
        <v>298743.81278455001</v>
      </c>
      <c r="AN15" s="111">
        <f>+AI15*0.15</f>
        <v>23870.196724949994</v>
      </c>
    </row>
    <row r="16" spans="1:40" s="58" customFormat="1" ht="30" customHeight="1" x14ac:dyDescent="0.2">
      <c r="A16" s="59" t="s">
        <v>18</v>
      </c>
      <c r="B16" s="60" t="s">
        <v>19</v>
      </c>
      <c r="C16" s="61">
        <v>35.052191000000001</v>
      </c>
      <c r="D16" s="61">
        <v>85.307854000000006</v>
      </c>
      <c r="E16" s="62" t="s">
        <v>95</v>
      </c>
      <c r="F16" s="61">
        <v>25843</v>
      </c>
      <c r="G16" s="63">
        <v>39882</v>
      </c>
      <c r="H16" s="64" t="s">
        <v>109</v>
      </c>
      <c r="I16" s="65"/>
      <c r="J16" s="61" t="s">
        <v>72</v>
      </c>
      <c r="K16" s="63">
        <v>39890</v>
      </c>
      <c r="L16" s="164" t="s">
        <v>109</v>
      </c>
      <c r="M16" s="65"/>
      <c r="N16" s="66">
        <v>2011</v>
      </c>
      <c r="O16" s="66">
        <v>2025</v>
      </c>
      <c r="P16" s="76"/>
      <c r="Q16" s="68"/>
      <c r="R16" s="112"/>
      <c r="S16" s="70">
        <v>21000000</v>
      </c>
      <c r="T16" s="70"/>
      <c r="U16" s="223">
        <v>8368120</v>
      </c>
      <c r="V16" s="65"/>
      <c r="W16" s="71">
        <f t="shared" si="18"/>
        <v>190542.09240000002</v>
      </c>
      <c r="X16" s="71">
        <f t="shared" si="18"/>
        <v>126768.64988</v>
      </c>
      <c r="Y16" s="71">
        <f t="shared" si="18"/>
        <v>104626.60435999998</v>
      </c>
      <c r="Z16" s="71">
        <f t="shared" si="1"/>
        <v>421937.34664</v>
      </c>
      <c r="AA16" s="65"/>
      <c r="AB16" s="72">
        <f>+W16*0.3</f>
        <v>57162.627720000004</v>
      </c>
      <c r="AC16" s="73">
        <f>+X16*0.3</f>
        <v>38030.594963999996</v>
      </c>
      <c r="AD16" s="73">
        <f>+Y16*0.3</f>
        <v>31387.981307999995</v>
      </c>
      <c r="AE16" s="73"/>
      <c r="AF16" s="73">
        <f t="shared" si="2"/>
        <v>126581.203992</v>
      </c>
      <c r="AG16" s="281"/>
      <c r="AH16" s="74">
        <f t="shared" si="3"/>
        <v>133379.46468000003</v>
      </c>
      <c r="AI16" s="75">
        <f t="shared" si="3"/>
        <v>88738.054915999994</v>
      </c>
      <c r="AJ16" s="75">
        <f t="shared" si="3"/>
        <v>73238.623051999981</v>
      </c>
      <c r="AK16" s="75">
        <f t="shared" si="4"/>
        <v>0</v>
      </c>
      <c r="AL16" s="75">
        <f t="shared" si="5"/>
        <v>295356.14264800004</v>
      </c>
    </row>
    <row r="17" spans="1:40" s="58" customFormat="1" ht="25.5" customHeight="1" x14ac:dyDescent="0.2">
      <c r="A17" s="59" t="s">
        <v>30</v>
      </c>
      <c r="B17" s="60" t="s">
        <v>31</v>
      </c>
      <c r="C17" s="61">
        <v>35.053296000000003</v>
      </c>
      <c r="D17" s="61">
        <v>-85.311479199999994</v>
      </c>
      <c r="E17" s="62" t="s">
        <v>96</v>
      </c>
      <c r="F17" s="61">
        <v>25682</v>
      </c>
      <c r="G17" s="63">
        <v>39721</v>
      </c>
      <c r="H17" s="64" t="s">
        <v>109</v>
      </c>
      <c r="I17" s="65"/>
      <c r="J17" s="61" t="s">
        <v>73</v>
      </c>
      <c r="K17" s="63">
        <v>39722</v>
      </c>
      <c r="L17" s="164" t="s">
        <v>109</v>
      </c>
      <c r="M17" s="65"/>
      <c r="N17" s="66">
        <v>2010</v>
      </c>
      <c r="O17" s="66">
        <v>2024</v>
      </c>
      <c r="P17" s="76"/>
      <c r="Q17" s="68"/>
      <c r="R17" s="69"/>
      <c r="S17" s="70">
        <v>7000000</v>
      </c>
      <c r="T17" s="70"/>
      <c r="U17" s="223">
        <v>4342920</v>
      </c>
      <c r="V17" s="65"/>
      <c r="W17" s="71">
        <f t="shared" si="18"/>
        <v>98888.288400000005</v>
      </c>
      <c r="X17" s="71">
        <f t="shared" si="18"/>
        <v>65790.895079999988</v>
      </c>
      <c r="Y17" s="71">
        <f t="shared" si="18"/>
        <v>54299.528760000001</v>
      </c>
      <c r="Z17" s="71">
        <f t="shared" si="1"/>
        <v>218978.71224000002</v>
      </c>
      <c r="AA17" s="65"/>
      <c r="AB17" s="72">
        <v>0</v>
      </c>
      <c r="AC17" s="73">
        <v>0</v>
      </c>
      <c r="AD17" s="73">
        <f>Y17</f>
        <v>54299.528760000001</v>
      </c>
      <c r="AE17" s="73"/>
      <c r="AF17" s="73">
        <f t="shared" si="2"/>
        <v>54299.528760000001</v>
      </c>
      <c r="AG17" s="281"/>
      <c r="AH17" s="74">
        <f t="shared" si="3"/>
        <v>98888.288400000005</v>
      </c>
      <c r="AI17" s="75">
        <f t="shared" si="3"/>
        <v>65790.895079999988</v>
      </c>
      <c r="AJ17" s="75">
        <f t="shared" si="3"/>
        <v>0</v>
      </c>
      <c r="AK17" s="75">
        <f t="shared" si="4"/>
        <v>0</v>
      </c>
      <c r="AL17" s="75">
        <f t="shared" si="5"/>
        <v>164679.18348000001</v>
      </c>
    </row>
    <row r="18" spans="1:40" s="58" customFormat="1" ht="25.5" customHeight="1" x14ac:dyDescent="0.2">
      <c r="A18" s="59" t="s">
        <v>75</v>
      </c>
      <c r="B18" s="60" t="s">
        <v>20</v>
      </c>
      <c r="C18" s="61">
        <v>35.083309</v>
      </c>
      <c r="D18" s="61">
        <v>-85.261724999999998</v>
      </c>
      <c r="E18" s="62" t="s">
        <v>146</v>
      </c>
      <c r="F18" s="61">
        <v>28072</v>
      </c>
      <c r="G18" s="63">
        <v>41975</v>
      </c>
      <c r="H18" s="64" t="s">
        <v>109</v>
      </c>
      <c r="I18" s="65"/>
      <c r="J18" s="61" t="s">
        <v>74</v>
      </c>
      <c r="K18" s="63">
        <v>41976</v>
      </c>
      <c r="L18" s="164" t="s">
        <v>109</v>
      </c>
      <c r="M18" s="65"/>
      <c r="N18" s="66">
        <v>2015</v>
      </c>
      <c r="O18" s="66">
        <v>2022</v>
      </c>
      <c r="P18" s="76">
        <v>105</v>
      </c>
      <c r="Q18" s="68">
        <v>45000</v>
      </c>
      <c r="R18" s="69"/>
      <c r="S18" s="70">
        <v>18100000</v>
      </c>
      <c r="T18" s="70"/>
      <c r="U18" s="223">
        <f>800320+3490240+633760+148680+2860020</f>
        <v>7933020</v>
      </c>
      <c r="V18" s="65"/>
      <c r="W18" s="71">
        <f t="shared" si="18"/>
        <v>180634.86540000004</v>
      </c>
      <c r="X18" s="71">
        <f t="shared" si="18"/>
        <v>120177.31998</v>
      </c>
      <c r="Y18" s="71">
        <f>ROUND(+$U18*Y$1/100,2)</f>
        <v>99186.55</v>
      </c>
      <c r="Z18" s="71">
        <f t="shared" si="1"/>
        <v>399998.73538000003</v>
      </c>
      <c r="AA18" s="65"/>
      <c r="AB18" s="307">
        <f>W18*0.5</f>
        <v>90317.432700000019</v>
      </c>
      <c r="AC18" s="73">
        <f>X18*0.5</f>
        <v>60088.65999</v>
      </c>
      <c r="AD18" s="73">
        <f>10006.4+43638.47+7923.9+1858.95+35758.83</f>
        <v>99186.55</v>
      </c>
      <c r="AE18" s="283">
        <f>SUM(X18*0.15)+SUM(W18*0.15)</f>
        <v>45121.827807000009</v>
      </c>
      <c r="AF18" s="73">
        <f t="shared" si="2"/>
        <v>294714.47049700003</v>
      </c>
      <c r="AG18" s="281"/>
      <c r="AH18" s="74">
        <f t="shared" si="3"/>
        <v>90317.432700000019</v>
      </c>
      <c r="AI18" s="75">
        <f t="shared" si="3"/>
        <v>60088.65999</v>
      </c>
      <c r="AJ18" s="75">
        <f t="shared" si="3"/>
        <v>0</v>
      </c>
      <c r="AK18" s="75">
        <f t="shared" si="4"/>
        <v>-45121.827807000009</v>
      </c>
      <c r="AL18" s="75">
        <f t="shared" si="5"/>
        <v>105284.264883</v>
      </c>
      <c r="AN18" s="111">
        <f>+X18*0.15</f>
        <v>18026.597997000001</v>
      </c>
    </row>
    <row r="19" spans="1:40" s="58" customFormat="1" ht="41.45" customHeight="1" x14ac:dyDescent="0.2">
      <c r="A19" s="59" t="s">
        <v>131</v>
      </c>
      <c r="B19" s="60" t="s">
        <v>179</v>
      </c>
      <c r="C19" s="61"/>
      <c r="D19" s="61"/>
      <c r="E19" s="62" t="s">
        <v>155</v>
      </c>
      <c r="F19" s="61">
        <v>28002</v>
      </c>
      <c r="G19" s="63">
        <v>41891</v>
      </c>
      <c r="H19" s="107" t="s">
        <v>109</v>
      </c>
      <c r="I19" s="65"/>
      <c r="J19" s="66" t="s">
        <v>113</v>
      </c>
      <c r="K19" s="101">
        <v>41899</v>
      </c>
      <c r="L19" s="162" t="s">
        <v>109</v>
      </c>
      <c r="M19" s="65"/>
      <c r="N19" s="66">
        <v>2016</v>
      </c>
      <c r="O19" s="66">
        <v>2020</v>
      </c>
      <c r="P19" s="76">
        <v>30</v>
      </c>
      <c r="Q19" s="68">
        <v>49000</v>
      </c>
      <c r="R19" s="69"/>
      <c r="S19" s="70">
        <v>5050000</v>
      </c>
      <c r="T19" s="70"/>
      <c r="U19" s="223">
        <f>1399280+197760</f>
        <v>1597040</v>
      </c>
      <c r="V19" s="65"/>
      <c r="W19" s="71">
        <f t="shared" si="18"/>
        <v>36364.6008</v>
      </c>
      <c r="X19" s="71">
        <f t="shared" si="18"/>
        <v>24193.558959999998</v>
      </c>
      <c r="Y19" s="71">
        <f t="shared" si="18"/>
        <v>19967.791119999998</v>
      </c>
      <c r="Z19" s="71">
        <f>+W19+X19+Y19</f>
        <v>80525.950879999989</v>
      </c>
      <c r="AA19" s="65"/>
      <c r="AB19" s="72">
        <f>12744.64+1801.2</f>
        <v>14545.84</v>
      </c>
      <c r="AC19" s="73">
        <f>8479.08+1198.35</f>
        <v>9677.43</v>
      </c>
      <c r="AD19" s="73">
        <f>Y19</f>
        <v>19967.791119999998</v>
      </c>
      <c r="AE19" s="283">
        <f>SUM(W19:X19)*0.15</f>
        <v>9083.7239639999989</v>
      </c>
      <c r="AF19" s="73">
        <f t="shared" si="2"/>
        <v>53274.785083999996</v>
      </c>
      <c r="AG19" s="281"/>
      <c r="AH19" s="74">
        <f>+W19-AB19</f>
        <v>21818.7608</v>
      </c>
      <c r="AI19" s="75">
        <f>+X19-AC19</f>
        <v>14516.128959999998</v>
      </c>
      <c r="AJ19" s="75">
        <f>+Y19-AD19</f>
        <v>0</v>
      </c>
      <c r="AK19" s="75">
        <f>-AE19</f>
        <v>-9083.7239639999989</v>
      </c>
      <c r="AL19" s="75">
        <f>+Z19-AF19</f>
        <v>27251.165795999994</v>
      </c>
      <c r="AN19" s="111">
        <f>+X19*0.15</f>
        <v>3629.0338439999996</v>
      </c>
    </row>
    <row r="20" spans="1:40" s="58" customFormat="1" ht="54" customHeight="1" x14ac:dyDescent="0.2">
      <c r="A20" s="59" t="s">
        <v>32</v>
      </c>
      <c r="B20" s="60" t="s">
        <v>33</v>
      </c>
      <c r="C20" s="61">
        <v>35.079189999999997</v>
      </c>
      <c r="D20" s="61">
        <v>-85.138220000000004</v>
      </c>
      <c r="E20" s="62" t="s">
        <v>98</v>
      </c>
      <c r="F20" s="61">
        <v>25738</v>
      </c>
      <c r="G20" s="63">
        <v>39777</v>
      </c>
      <c r="H20" s="64" t="s">
        <v>109</v>
      </c>
      <c r="I20" s="65"/>
      <c r="J20" s="61" t="s">
        <v>79</v>
      </c>
      <c r="K20" s="63">
        <v>39765</v>
      </c>
      <c r="L20" s="164" t="s">
        <v>109</v>
      </c>
      <c r="M20" s="65"/>
      <c r="N20" s="66">
        <v>2010</v>
      </c>
      <c r="O20" s="66">
        <v>2038</v>
      </c>
      <c r="P20" s="113">
        <v>2000</v>
      </c>
      <c r="Q20" s="68"/>
      <c r="R20" s="69" t="s">
        <v>229</v>
      </c>
      <c r="S20" s="70">
        <v>1000000000</v>
      </c>
      <c r="T20" s="70"/>
      <c r="U20" s="223">
        <f>4000000+262059888+178686700</f>
        <v>444746588</v>
      </c>
      <c r="V20" s="65"/>
      <c r="W20" s="71">
        <f>+$U20*W$1/100+643961</f>
        <v>10770840.80876</v>
      </c>
      <c r="X20" s="71">
        <f t="shared" si="18"/>
        <v>6737466.0616119988</v>
      </c>
      <c r="Y20" s="71">
        <f t="shared" si="18"/>
        <v>5560666.5897639999</v>
      </c>
      <c r="Z20" s="71">
        <f t="shared" si="1"/>
        <v>23068973.460135996</v>
      </c>
      <c r="AA20" s="65"/>
      <c r="AB20" s="72">
        <v>643960.59</v>
      </c>
      <c r="AC20" s="73">
        <v>0</v>
      </c>
      <c r="AD20" s="73">
        <v>4916706</v>
      </c>
      <c r="AE20" s="73"/>
      <c r="AF20" s="73">
        <f t="shared" si="2"/>
        <v>5560666.5899999999</v>
      </c>
      <c r="AG20" s="281"/>
      <c r="AH20" s="74">
        <f t="shared" si="3"/>
        <v>10126880.218760001</v>
      </c>
      <c r="AI20" s="75">
        <f t="shared" si="3"/>
        <v>6737466.0616119988</v>
      </c>
      <c r="AJ20" s="75">
        <f t="shared" si="3"/>
        <v>643960.58976399992</v>
      </c>
      <c r="AK20" s="75">
        <f t="shared" si="4"/>
        <v>0</v>
      </c>
      <c r="AL20" s="75">
        <f t="shared" si="5"/>
        <v>17508306.870135996</v>
      </c>
    </row>
    <row r="21" spans="1:40" s="58" customFormat="1" ht="25.5" customHeight="1" x14ac:dyDescent="0.2">
      <c r="A21" s="246" t="s">
        <v>51</v>
      </c>
      <c r="B21" s="151" t="s">
        <v>106</v>
      </c>
      <c r="C21" s="247">
        <v>35.079189999999997</v>
      </c>
      <c r="D21" s="247">
        <v>-85.138220000000004</v>
      </c>
      <c r="E21" s="156"/>
      <c r="F21" s="61">
        <v>27960</v>
      </c>
      <c r="G21" s="63">
        <v>41849</v>
      </c>
      <c r="H21" s="64" t="s">
        <v>109</v>
      </c>
      <c r="I21" s="65"/>
      <c r="J21" s="61" t="s">
        <v>82</v>
      </c>
      <c r="K21" s="63">
        <v>41843</v>
      </c>
      <c r="L21" s="164" t="s">
        <v>109</v>
      </c>
      <c r="M21" s="65"/>
      <c r="N21" s="66">
        <v>2015</v>
      </c>
      <c r="O21" s="66">
        <v>2038</v>
      </c>
      <c r="P21" s="113">
        <v>2000</v>
      </c>
      <c r="Q21" s="68"/>
      <c r="R21" s="69"/>
      <c r="S21" s="70">
        <v>900000000</v>
      </c>
      <c r="T21" s="70"/>
      <c r="U21" s="223"/>
      <c r="V21" s="65"/>
      <c r="W21" s="71">
        <v>0</v>
      </c>
      <c r="X21" s="71">
        <v>0</v>
      </c>
      <c r="Y21" s="71">
        <v>0</v>
      </c>
      <c r="Z21" s="71">
        <f t="shared" si="1"/>
        <v>0</v>
      </c>
      <c r="AA21" s="65"/>
      <c r="AB21" s="72">
        <v>0</v>
      </c>
      <c r="AC21" s="73">
        <v>0</v>
      </c>
      <c r="AD21" s="73">
        <v>0</v>
      </c>
      <c r="AE21" s="73">
        <v>250000</v>
      </c>
      <c r="AF21" s="73">
        <f t="shared" si="2"/>
        <v>250000</v>
      </c>
      <c r="AG21" s="281"/>
      <c r="AH21" s="74">
        <f t="shared" si="3"/>
        <v>0</v>
      </c>
      <c r="AI21" s="75">
        <f t="shared" si="3"/>
        <v>0</v>
      </c>
      <c r="AJ21" s="75">
        <f t="shared" si="3"/>
        <v>0</v>
      </c>
      <c r="AK21" s="75">
        <f t="shared" si="4"/>
        <v>-250000</v>
      </c>
      <c r="AL21" s="75">
        <f t="shared" si="5"/>
        <v>-250000</v>
      </c>
    </row>
    <row r="22" spans="1:40" s="58" customFormat="1" ht="25.5" x14ac:dyDescent="0.2">
      <c r="A22" s="241" t="s">
        <v>147</v>
      </c>
      <c r="B22" s="151" t="s">
        <v>185</v>
      </c>
      <c r="C22" s="240"/>
      <c r="D22" s="240"/>
      <c r="E22" s="156" t="s">
        <v>184</v>
      </c>
      <c r="F22" s="61">
        <v>28501</v>
      </c>
      <c r="G22" s="63">
        <v>42388</v>
      </c>
      <c r="H22" s="107" t="s">
        <v>109</v>
      </c>
      <c r="I22" s="65"/>
      <c r="J22" s="61" t="s">
        <v>148</v>
      </c>
      <c r="K22" s="63">
        <v>42389</v>
      </c>
      <c r="L22" s="162" t="s">
        <v>109</v>
      </c>
      <c r="M22" s="65"/>
      <c r="N22" s="66">
        <v>2017</v>
      </c>
      <c r="O22" s="66">
        <v>2030</v>
      </c>
      <c r="P22" s="98">
        <v>325</v>
      </c>
      <c r="Q22" s="68">
        <v>50000</v>
      </c>
      <c r="R22" s="69" t="s">
        <v>231</v>
      </c>
      <c r="S22" s="70">
        <v>48000000</v>
      </c>
      <c r="T22" s="70"/>
      <c r="U22" s="223">
        <v>4022271</v>
      </c>
      <c r="V22" s="65"/>
      <c r="W22" s="199">
        <f t="shared" ref="W22:Y22" si="20">+$U22*W$1/100</f>
        <v>91587.110669999995</v>
      </c>
      <c r="X22" s="199">
        <f t="shared" si="20"/>
        <v>60933.383378999999</v>
      </c>
      <c r="Y22" s="199">
        <f t="shared" si="20"/>
        <v>50290.454313000002</v>
      </c>
      <c r="Z22" s="199">
        <f t="shared" ref="Z22" si="21">+W22+X22+Y22</f>
        <v>202810.948362</v>
      </c>
      <c r="AA22" s="65"/>
      <c r="AB22" s="310">
        <f>W22*0.5</f>
        <v>45793.555334999997</v>
      </c>
      <c r="AC22" s="73">
        <f>X22*0.5</f>
        <v>30466.691689499999</v>
      </c>
      <c r="AD22" s="73">
        <f>Y22</f>
        <v>50290.454313000002</v>
      </c>
      <c r="AE22" s="309">
        <f>W22*0.15</f>
        <v>13738.066600499998</v>
      </c>
      <c r="AF22" s="73">
        <f>SUM(AB22:AE22)</f>
        <v>140288.767938</v>
      </c>
      <c r="AG22" s="281"/>
      <c r="AH22" s="201">
        <f t="shared" ref="AH22" si="22">+W22-AB22</f>
        <v>45793.555334999997</v>
      </c>
      <c r="AI22" s="200">
        <f t="shared" ref="AI22:AJ22" si="23">+X22-AC22</f>
        <v>30466.691689499999</v>
      </c>
      <c r="AJ22" s="200">
        <f t="shared" si="23"/>
        <v>0</v>
      </c>
      <c r="AK22" s="200">
        <f t="shared" ref="AK22" si="24">-AE22</f>
        <v>-13738.066600499998</v>
      </c>
      <c r="AL22" s="200">
        <f t="shared" ref="AL22" si="25">+Z22-AF22</f>
        <v>62522.180423999991</v>
      </c>
    </row>
    <row r="23" spans="1:40" s="123" customFormat="1" ht="38.25" customHeight="1" x14ac:dyDescent="0.25">
      <c r="A23" s="287" t="s">
        <v>62</v>
      </c>
      <c r="B23" s="115"/>
      <c r="C23" s="115"/>
      <c r="D23" s="115"/>
      <c r="E23" s="115"/>
      <c r="F23" s="115"/>
      <c r="G23" s="116"/>
      <c r="H23" s="116"/>
      <c r="I23" s="117"/>
      <c r="J23" s="115"/>
      <c r="K23" s="116"/>
      <c r="L23" s="116"/>
      <c r="M23" s="117"/>
      <c r="N23" s="115"/>
      <c r="O23" s="115"/>
      <c r="P23" s="115"/>
      <c r="Q23" s="118"/>
      <c r="R23" s="119"/>
      <c r="S23" s="117"/>
      <c r="T23" s="117"/>
      <c r="U23" s="261"/>
      <c r="V23" s="117"/>
      <c r="W23" s="120"/>
      <c r="X23" s="120"/>
      <c r="Y23" s="120"/>
      <c r="Z23" s="117"/>
      <c r="AA23" s="117"/>
      <c r="AB23" s="120"/>
      <c r="AC23" s="120"/>
      <c r="AD23" s="120"/>
      <c r="AE23" s="121"/>
      <c r="AF23" s="117"/>
      <c r="AG23" s="117"/>
      <c r="AH23" s="117"/>
      <c r="AI23" s="117"/>
      <c r="AJ23" s="117"/>
      <c r="AK23" s="117"/>
      <c r="AL23" s="117"/>
      <c r="AM23" s="122"/>
    </row>
    <row r="24" spans="1:40" s="58" customFormat="1" ht="25.5" customHeight="1" x14ac:dyDescent="0.2">
      <c r="A24" s="59" t="s">
        <v>25</v>
      </c>
      <c r="B24" s="60" t="s">
        <v>26</v>
      </c>
      <c r="C24" s="61">
        <v>35.0899079</v>
      </c>
      <c r="D24" s="61">
        <v>-85.258423100000002</v>
      </c>
      <c r="E24" s="62" t="s">
        <v>141</v>
      </c>
      <c r="F24" s="61">
        <v>26093</v>
      </c>
      <c r="G24" s="63">
        <v>40092</v>
      </c>
      <c r="H24" s="64" t="s">
        <v>109</v>
      </c>
      <c r="I24" s="65"/>
      <c r="J24" s="61" t="s">
        <v>63</v>
      </c>
      <c r="K24" s="63">
        <v>40072</v>
      </c>
      <c r="L24" s="164" t="s">
        <v>109</v>
      </c>
      <c r="M24" s="65"/>
      <c r="N24" s="66">
        <v>2010</v>
      </c>
      <c r="O24" s="66">
        <v>2018</v>
      </c>
      <c r="P24" s="76">
        <v>260</v>
      </c>
      <c r="Q24" s="68"/>
      <c r="R24" s="124" t="s">
        <v>230</v>
      </c>
      <c r="S24" s="70">
        <v>15000000</v>
      </c>
      <c r="T24" s="70"/>
      <c r="U24" s="223">
        <f>3037898+667360</f>
        <v>3705258</v>
      </c>
      <c r="V24" s="65"/>
      <c r="W24" s="71">
        <f>+$U24*W$1/100</f>
        <v>84368.724660000007</v>
      </c>
      <c r="X24" s="71">
        <f>+$U24*X$1/100</f>
        <v>56130.953441999991</v>
      </c>
      <c r="Y24" s="71">
        <f>ROUND(+$U24*Y$1/100,2)</f>
        <v>46326.84</v>
      </c>
      <c r="Z24" s="71">
        <f>+W24+X24+Y24</f>
        <v>186826.518102</v>
      </c>
      <c r="AA24" s="65"/>
      <c r="AB24" s="72">
        <v>0</v>
      </c>
      <c r="AC24" s="73">
        <v>0</v>
      </c>
      <c r="AD24" s="73">
        <f>37982.84+8344</f>
        <v>46326.84</v>
      </c>
      <c r="AE24" s="73"/>
      <c r="AF24" s="73">
        <f t="shared" ref="AF24:AF29" si="26">+AB24+AC24+AD24+AE24</f>
        <v>46326.84</v>
      </c>
      <c r="AG24" s="281"/>
      <c r="AH24" s="74">
        <f>+W24-AB24</f>
        <v>84368.724660000007</v>
      </c>
      <c r="AI24" s="75">
        <f>+X24-AC24</f>
        <v>56130.953441999991</v>
      </c>
      <c r="AJ24" s="200">
        <f>+Y24-AD24</f>
        <v>0</v>
      </c>
      <c r="AK24" s="75">
        <f t="shared" ref="AK24:AK25" si="27">-AE24</f>
        <v>0</v>
      </c>
      <c r="AL24" s="75">
        <f t="shared" ref="AL24:AL25" si="28">+Z24-AF24</f>
        <v>140499.67810200001</v>
      </c>
    </row>
    <row r="25" spans="1:40" s="58" customFormat="1" ht="25.5" customHeight="1" x14ac:dyDescent="0.2">
      <c r="A25" s="324" t="s">
        <v>119</v>
      </c>
      <c r="B25" s="313" t="s">
        <v>13</v>
      </c>
      <c r="C25" s="61">
        <v>35.074481900000002</v>
      </c>
      <c r="D25" s="61">
        <v>-85.156702999999993</v>
      </c>
      <c r="E25" s="314" t="s">
        <v>207</v>
      </c>
      <c r="F25" s="315">
        <v>26356</v>
      </c>
      <c r="G25" s="316">
        <v>40365</v>
      </c>
      <c r="H25" s="333" t="s">
        <v>109</v>
      </c>
      <c r="I25" s="129"/>
      <c r="J25" s="130" t="s">
        <v>134</v>
      </c>
      <c r="K25" s="131">
        <v>40129</v>
      </c>
      <c r="L25" s="255" t="s">
        <v>109</v>
      </c>
      <c r="M25" s="129"/>
      <c r="N25" s="325">
        <v>2011</v>
      </c>
      <c r="O25" s="325">
        <v>2024</v>
      </c>
      <c r="P25" s="326">
        <v>230</v>
      </c>
      <c r="Q25" s="327">
        <v>38247</v>
      </c>
      <c r="R25" s="134"/>
      <c r="S25" s="328">
        <v>90300000</v>
      </c>
      <c r="T25" s="70"/>
      <c r="U25" s="329">
        <f>20109040+3127680</f>
        <v>23236720</v>
      </c>
      <c r="V25" s="129"/>
      <c r="W25" s="330">
        <f t="shared" ref="W25:Y34" si="29">+$U25*W$1/100</f>
        <v>529100.11440000008</v>
      </c>
      <c r="X25" s="330">
        <f t="shared" si="29"/>
        <v>352013.07127999997</v>
      </c>
      <c r="Y25" s="330">
        <f t="shared" si="29"/>
        <v>290528.71016000002</v>
      </c>
      <c r="Z25" s="330">
        <f t="shared" ref="Z25:Z34" si="30">+W25+X25+Y25</f>
        <v>1171641.8958400001</v>
      </c>
      <c r="AA25" s="129"/>
      <c r="AB25" s="331">
        <f>242346.35+37693.59</f>
        <v>280039.94</v>
      </c>
      <c r="AC25" s="334">
        <f>161234.29+25077.75</f>
        <v>186312.04</v>
      </c>
      <c r="AD25" s="335">
        <f>Y25</f>
        <v>290528.71016000002</v>
      </c>
      <c r="AE25" s="335"/>
      <c r="AF25" s="335">
        <f t="shared" si="26"/>
        <v>756880.69016</v>
      </c>
      <c r="AG25" s="285"/>
      <c r="AH25" s="336">
        <f t="shared" ref="AH25:AJ25" si="31">+W25-AB25</f>
        <v>249060.17440000008</v>
      </c>
      <c r="AI25" s="332">
        <f t="shared" si="31"/>
        <v>165701.03127999997</v>
      </c>
      <c r="AJ25" s="332">
        <f t="shared" si="31"/>
        <v>0</v>
      </c>
      <c r="AK25" s="332">
        <f t="shared" si="27"/>
        <v>0</v>
      </c>
      <c r="AL25" s="332">
        <f t="shared" si="28"/>
        <v>414761.20568000013</v>
      </c>
      <c r="AM25" s="110"/>
    </row>
    <row r="26" spans="1:40" s="58" customFormat="1" ht="25.5" customHeight="1" x14ac:dyDescent="0.2">
      <c r="A26" s="324"/>
      <c r="B26" s="313"/>
      <c r="C26" s="61"/>
      <c r="D26" s="61"/>
      <c r="E26" s="314"/>
      <c r="F26" s="315"/>
      <c r="G26" s="316"/>
      <c r="H26" s="333"/>
      <c r="I26" s="46"/>
      <c r="J26" s="43" t="s">
        <v>133</v>
      </c>
      <c r="K26" s="141">
        <v>40366</v>
      </c>
      <c r="L26" s="256" t="s">
        <v>109</v>
      </c>
      <c r="M26" s="46"/>
      <c r="N26" s="325"/>
      <c r="O26" s="325"/>
      <c r="P26" s="326"/>
      <c r="Q26" s="327"/>
      <c r="R26" s="50"/>
      <c r="S26" s="328"/>
      <c r="T26" s="70"/>
      <c r="U26" s="329"/>
      <c r="V26" s="46"/>
      <c r="W26" s="330"/>
      <c r="X26" s="330"/>
      <c r="Y26" s="330"/>
      <c r="Z26" s="330"/>
      <c r="AA26" s="46"/>
      <c r="AB26" s="331"/>
      <c r="AC26" s="334"/>
      <c r="AD26" s="335"/>
      <c r="AE26" s="335"/>
      <c r="AF26" s="335"/>
      <c r="AG26" s="286"/>
      <c r="AH26" s="336"/>
      <c r="AI26" s="332"/>
      <c r="AJ26" s="332"/>
      <c r="AK26" s="332"/>
      <c r="AL26" s="332"/>
      <c r="AM26" s="110"/>
    </row>
    <row r="27" spans="1:40" s="58" customFormat="1" ht="25.5" customHeight="1" x14ac:dyDescent="0.2">
      <c r="A27" s="324" t="s">
        <v>220</v>
      </c>
      <c r="B27" s="324" t="s">
        <v>138</v>
      </c>
      <c r="C27" s="198"/>
      <c r="D27" s="198"/>
      <c r="E27" s="340" t="s">
        <v>223</v>
      </c>
      <c r="F27" s="143">
        <v>28301</v>
      </c>
      <c r="G27" s="144">
        <v>42185</v>
      </c>
      <c r="H27" s="132" t="s">
        <v>109</v>
      </c>
      <c r="I27" s="129"/>
      <c r="J27" s="130" t="s">
        <v>129</v>
      </c>
      <c r="K27" s="131">
        <v>42186</v>
      </c>
      <c r="L27" s="255" t="s">
        <v>109</v>
      </c>
      <c r="M27" s="129"/>
      <c r="N27" s="325">
        <v>2017</v>
      </c>
      <c r="O27" s="325">
        <v>2026</v>
      </c>
      <c r="P27" s="326">
        <v>374</v>
      </c>
      <c r="Q27" s="327"/>
      <c r="R27" s="134"/>
      <c r="S27" s="328">
        <v>140900000</v>
      </c>
      <c r="T27" s="70"/>
      <c r="U27" s="329">
        <f>4904120+5125920+9425264+5964419</f>
        <v>25419723</v>
      </c>
      <c r="V27" s="129"/>
      <c r="W27" s="330">
        <f t="shared" si="29"/>
        <v>578807.09271</v>
      </c>
      <c r="X27" s="330">
        <f t="shared" si="29"/>
        <v>385083.38372699998</v>
      </c>
      <c r="Y27" s="330">
        <f t="shared" si="29"/>
        <v>317822.796669</v>
      </c>
      <c r="Z27" s="330">
        <f t="shared" ref="Z27" si="32">+W27+X27+Y27</f>
        <v>1281713.2731059999</v>
      </c>
      <c r="AA27" s="145"/>
      <c r="AB27" s="337">
        <f>W27*0.25</f>
        <v>144701.7731775</v>
      </c>
      <c r="AC27" s="338">
        <f>X27*0.25</f>
        <v>96270.845931749995</v>
      </c>
      <c r="AD27" s="339">
        <f>Y27</f>
        <v>317822.796669</v>
      </c>
      <c r="AE27" s="339">
        <f>SUM(X27:Y28)*0.1253+SUM(W27*0.15)</f>
        <v>174895.20831011879</v>
      </c>
      <c r="AF27" s="335">
        <f t="shared" si="26"/>
        <v>733690.62408836873</v>
      </c>
      <c r="AG27" s="145"/>
      <c r="AH27" s="336">
        <f t="shared" ref="AH27" si="33">+W27-AB27</f>
        <v>434105.3195325</v>
      </c>
      <c r="AI27" s="332">
        <f t="shared" ref="AI27" si="34">+X27-AC27</f>
        <v>288812.53779524995</v>
      </c>
      <c r="AJ27" s="332">
        <f t="shared" ref="AJ27" si="35">+Y27-AD27</f>
        <v>0</v>
      </c>
      <c r="AK27" s="332">
        <f t="shared" ref="AK27" si="36">-AE27</f>
        <v>-174895.20831011879</v>
      </c>
      <c r="AL27" s="332">
        <f t="shared" ref="AL27" si="37">+Z27-AF27</f>
        <v>548022.64901763119</v>
      </c>
      <c r="AM27" s="110"/>
    </row>
    <row r="28" spans="1:40" s="58" customFormat="1" ht="25.5" customHeight="1" x14ac:dyDescent="0.2">
      <c r="A28" s="324"/>
      <c r="B28" s="324"/>
      <c r="C28" s="198"/>
      <c r="D28" s="198"/>
      <c r="E28" s="341"/>
      <c r="F28" s="42">
        <v>28424</v>
      </c>
      <c r="G28" s="44">
        <v>42290</v>
      </c>
      <c r="H28" s="142" t="s">
        <v>109</v>
      </c>
      <c r="I28" s="46"/>
      <c r="J28" s="43" t="s">
        <v>137</v>
      </c>
      <c r="K28" s="141">
        <v>42283</v>
      </c>
      <c r="L28" s="256" t="s">
        <v>109</v>
      </c>
      <c r="M28" s="46"/>
      <c r="N28" s="325"/>
      <c r="O28" s="325"/>
      <c r="P28" s="326"/>
      <c r="Q28" s="327"/>
      <c r="R28" s="50"/>
      <c r="S28" s="328"/>
      <c r="T28" s="70"/>
      <c r="U28" s="329"/>
      <c r="V28" s="46"/>
      <c r="W28" s="330"/>
      <c r="X28" s="330"/>
      <c r="Y28" s="330"/>
      <c r="Z28" s="330"/>
      <c r="AA28" s="146"/>
      <c r="AB28" s="337"/>
      <c r="AC28" s="338"/>
      <c r="AD28" s="339"/>
      <c r="AE28" s="339"/>
      <c r="AF28" s="335"/>
      <c r="AG28" s="146"/>
      <c r="AH28" s="336"/>
      <c r="AI28" s="332"/>
      <c r="AJ28" s="332"/>
      <c r="AK28" s="332"/>
      <c r="AL28" s="332"/>
      <c r="AM28" s="110"/>
    </row>
    <row r="29" spans="1:40" s="58" customFormat="1" ht="25.5" customHeight="1" x14ac:dyDescent="0.2">
      <c r="A29" s="342" t="s">
        <v>214</v>
      </c>
      <c r="B29" s="342" t="s">
        <v>215</v>
      </c>
      <c r="C29" s="105"/>
      <c r="D29" s="105"/>
      <c r="E29" s="344" t="s">
        <v>217</v>
      </c>
      <c r="F29" s="143">
        <v>29248</v>
      </c>
      <c r="G29" s="144">
        <v>43060</v>
      </c>
      <c r="H29" s="132" t="s">
        <v>109</v>
      </c>
      <c r="I29" s="85"/>
      <c r="J29" s="82" t="s">
        <v>216</v>
      </c>
      <c r="K29" s="244">
        <v>43054</v>
      </c>
      <c r="L29" s="308" t="s">
        <v>109</v>
      </c>
      <c r="M29" s="85"/>
      <c r="N29" s="346">
        <v>2019</v>
      </c>
      <c r="O29" s="346">
        <v>2025</v>
      </c>
      <c r="P29" s="352">
        <v>110</v>
      </c>
      <c r="Q29" s="354"/>
      <c r="R29" s="169"/>
      <c r="S29" s="356">
        <v>42700000</v>
      </c>
      <c r="T29" s="243"/>
      <c r="U29" s="358"/>
      <c r="V29" s="85"/>
      <c r="W29" s="330">
        <f t="shared" si="29"/>
        <v>0</v>
      </c>
      <c r="X29" s="330">
        <f t="shared" si="29"/>
        <v>0</v>
      </c>
      <c r="Y29" s="330">
        <f t="shared" si="29"/>
        <v>0</v>
      </c>
      <c r="Z29" s="330">
        <f t="shared" ref="Z29" si="38">+W29+X29+Y29</f>
        <v>0</v>
      </c>
      <c r="AA29" s="245"/>
      <c r="AB29" s="337">
        <f>W29</f>
        <v>0</v>
      </c>
      <c r="AC29" s="350">
        <f>X29</f>
        <v>0</v>
      </c>
      <c r="AD29" s="361">
        <f>Y29</f>
        <v>0</v>
      </c>
      <c r="AE29" s="361"/>
      <c r="AF29" s="335">
        <f t="shared" si="26"/>
        <v>0</v>
      </c>
      <c r="AG29" s="245"/>
      <c r="AH29" s="336">
        <f t="shared" ref="AH29" si="39">+W29-AB29</f>
        <v>0</v>
      </c>
      <c r="AI29" s="332">
        <f t="shared" ref="AI29" si="40">+X29-AC29</f>
        <v>0</v>
      </c>
      <c r="AJ29" s="332">
        <f t="shared" ref="AJ29" si="41">+Y29-AD29</f>
        <v>0</v>
      </c>
      <c r="AK29" s="332">
        <f t="shared" ref="AK29" si="42">-AE29</f>
        <v>0</v>
      </c>
      <c r="AL29" s="332">
        <f t="shared" ref="AL29" si="43">+Z29-AF29</f>
        <v>0</v>
      </c>
      <c r="AM29" s="110"/>
    </row>
    <row r="30" spans="1:40" s="58" customFormat="1" ht="25.5" customHeight="1" x14ac:dyDescent="0.2">
      <c r="A30" s="343"/>
      <c r="B30" s="343"/>
      <c r="C30" s="105"/>
      <c r="D30" s="105"/>
      <c r="E30" s="345"/>
      <c r="F30" s="42"/>
      <c r="G30" s="44"/>
      <c r="H30" s="142"/>
      <c r="I30" s="85"/>
      <c r="J30" s="82"/>
      <c r="K30" s="244"/>
      <c r="L30" s="257"/>
      <c r="M30" s="85"/>
      <c r="N30" s="347"/>
      <c r="O30" s="347"/>
      <c r="P30" s="353"/>
      <c r="Q30" s="355"/>
      <c r="R30" s="169"/>
      <c r="S30" s="357"/>
      <c r="T30" s="243"/>
      <c r="U30" s="359"/>
      <c r="V30" s="85"/>
      <c r="W30" s="330"/>
      <c r="X30" s="330"/>
      <c r="Y30" s="330"/>
      <c r="Z30" s="330"/>
      <c r="AA30" s="245"/>
      <c r="AB30" s="337"/>
      <c r="AC30" s="351"/>
      <c r="AD30" s="362"/>
      <c r="AE30" s="362"/>
      <c r="AF30" s="335"/>
      <c r="AG30" s="245"/>
      <c r="AH30" s="336"/>
      <c r="AI30" s="332"/>
      <c r="AJ30" s="332"/>
      <c r="AK30" s="332"/>
      <c r="AL30" s="332"/>
      <c r="AM30" s="110"/>
    </row>
    <row r="31" spans="1:40" s="58" customFormat="1" ht="25.5" customHeight="1" x14ac:dyDescent="0.2">
      <c r="A31" s="312" t="s">
        <v>21</v>
      </c>
      <c r="B31" s="313" t="s">
        <v>22</v>
      </c>
      <c r="C31" s="61">
        <v>35.072987400000002</v>
      </c>
      <c r="D31" s="61">
        <v>-85.275501800000001</v>
      </c>
      <c r="E31" s="314" t="s">
        <v>99</v>
      </c>
      <c r="F31" s="315">
        <v>25672</v>
      </c>
      <c r="G31" s="316">
        <v>39721</v>
      </c>
      <c r="H31" s="348" t="s">
        <v>109</v>
      </c>
      <c r="I31" s="129"/>
      <c r="J31" s="131" t="s">
        <v>136</v>
      </c>
      <c r="K31" s="131">
        <v>39526</v>
      </c>
      <c r="L31" s="255" t="s">
        <v>109</v>
      </c>
      <c r="M31" s="129"/>
      <c r="N31" s="325">
        <v>2009</v>
      </c>
      <c r="O31" s="325">
        <v>2019</v>
      </c>
      <c r="P31" s="326">
        <v>52</v>
      </c>
      <c r="Q31" s="327">
        <v>85000</v>
      </c>
      <c r="R31" s="134"/>
      <c r="S31" s="328">
        <f>16700000+4500000</f>
        <v>21200000</v>
      </c>
      <c r="T31" s="70"/>
      <c r="U31" s="329">
        <f>2134840+1499000+447128</f>
        <v>4080968</v>
      </c>
      <c r="V31" s="129"/>
      <c r="W31" s="330">
        <f t="shared" si="29"/>
        <v>92923.641359999994</v>
      </c>
      <c r="X31" s="330">
        <f t="shared" si="29"/>
        <v>61822.584232000001</v>
      </c>
      <c r="Y31" s="330">
        <f>ROUND(+$U31*Y$1/100,0)</f>
        <v>51024</v>
      </c>
      <c r="Z31" s="330">
        <f t="shared" si="30"/>
        <v>205770.225592</v>
      </c>
      <c r="AA31" s="129"/>
      <c r="AB31" s="331">
        <f>24305.16+34132.23+5090.55</f>
        <v>63527.94</v>
      </c>
      <c r="AC31" s="334">
        <f>16170.35+3386.77+41450.35*X1/(X1+Y1)</f>
        <v>42265.472095689278</v>
      </c>
      <c r="AD31" s="349">
        <f>ROUND(26691.9+5590.44+41450.35*Y1/(X1+Y1),0)</f>
        <v>51024</v>
      </c>
      <c r="AE31" s="335"/>
      <c r="AF31" s="335">
        <f>+AB31+AC31+AD31+AE31</f>
        <v>156817.41209568927</v>
      </c>
      <c r="AG31" s="285"/>
      <c r="AH31" s="336">
        <f t="shared" ref="AH31:AJ34" si="44">+W31-AB31</f>
        <v>29395.701359999992</v>
      </c>
      <c r="AI31" s="332">
        <f t="shared" si="44"/>
        <v>19557.112136310723</v>
      </c>
      <c r="AJ31" s="363">
        <f t="shared" si="44"/>
        <v>0</v>
      </c>
      <c r="AK31" s="332">
        <f>-AE31</f>
        <v>0</v>
      </c>
      <c r="AL31" s="332">
        <f>+Z31-AF31</f>
        <v>48952.81349631073</v>
      </c>
      <c r="AM31" s="150"/>
    </row>
    <row r="32" spans="1:40" s="58" customFormat="1" ht="25.5" customHeight="1" x14ac:dyDescent="0.2">
      <c r="A32" s="312"/>
      <c r="B32" s="313"/>
      <c r="C32" s="61"/>
      <c r="D32" s="61"/>
      <c r="E32" s="314"/>
      <c r="F32" s="315"/>
      <c r="G32" s="316"/>
      <c r="H32" s="348"/>
      <c r="I32" s="46"/>
      <c r="J32" s="141" t="s">
        <v>135</v>
      </c>
      <c r="K32" s="141">
        <v>39708</v>
      </c>
      <c r="L32" s="256" t="s">
        <v>109</v>
      </c>
      <c r="M32" s="46"/>
      <c r="N32" s="325"/>
      <c r="O32" s="325"/>
      <c r="P32" s="326"/>
      <c r="Q32" s="327"/>
      <c r="R32" s="50"/>
      <c r="S32" s="328"/>
      <c r="T32" s="70"/>
      <c r="U32" s="329"/>
      <c r="V32" s="46"/>
      <c r="W32" s="330"/>
      <c r="X32" s="330"/>
      <c r="Y32" s="330"/>
      <c r="Z32" s="330"/>
      <c r="AA32" s="46"/>
      <c r="AB32" s="331"/>
      <c r="AC32" s="334"/>
      <c r="AD32" s="349"/>
      <c r="AE32" s="335"/>
      <c r="AF32" s="335"/>
      <c r="AG32" s="286"/>
      <c r="AH32" s="336"/>
      <c r="AI32" s="332"/>
      <c r="AJ32" s="363"/>
      <c r="AK32" s="332"/>
      <c r="AL32" s="332"/>
      <c r="AM32" s="150"/>
    </row>
    <row r="33" spans="1:39" s="58" customFormat="1" ht="25.5" customHeight="1" x14ac:dyDescent="0.2">
      <c r="A33" s="59" t="s">
        <v>23</v>
      </c>
      <c r="B33" s="60" t="s">
        <v>24</v>
      </c>
      <c r="C33" s="61">
        <v>35.057448999999998</v>
      </c>
      <c r="D33" s="61">
        <v>-85.196417699999998</v>
      </c>
      <c r="E33" s="62" t="s">
        <v>100</v>
      </c>
      <c r="F33" s="61">
        <v>24923</v>
      </c>
      <c r="G33" s="63">
        <v>39014</v>
      </c>
      <c r="H33" s="64" t="s">
        <v>109</v>
      </c>
      <c r="I33" s="65"/>
      <c r="J33" s="61" t="s">
        <v>81</v>
      </c>
      <c r="K33" s="63">
        <v>39008</v>
      </c>
      <c r="L33" s="164" t="s">
        <v>109</v>
      </c>
      <c r="M33" s="65"/>
      <c r="N33" s="66">
        <v>2007</v>
      </c>
      <c r="O33" s="66">
        <v>2018</v>
      </c>
      <c r="P33" s="98">
        <v>150</v>
      </c>
      <c r="Q33" s="68">
        <v>49000</v>
      </c>
      <c r="R33" s="69"/>
      <c r="S33" s="70">
        <f>18000000+5000000</f>
        <v>23000000</v>
      </c>
      <c r="T33" s="70"/>
      <c r="U33" s="223">
        <f>1096120+1259379</f>
        <v>2355499</v>
      </c>
      <c r="V33" s="65"/>
      <c r="W33" s="71">
        <f t="shared" si="29"/>
        <v>53634.712230000005</v>
      </c>
      <c r="X33" s="71">
        <f t="shared" si="29"/>
        <v>35683.454351</v>
      </c>
      <c r="Y33" s="71">
        <f t="shared" si="29"/>
        <v>29450.803996999999</v>
      </c>
      <c r="Z33" s="71">
        <f t="shared" si="30"/>
        <v>118768.97057799999</v>
      </c>
      <c r="AA33" s="65"/>
      <c r="AB33" s="78">
        <f>W33/2</f>
        <v>26817.356115000002</v>
      </c>
      <c r="AC33" s="77">
        <f>X33/2</f>
        <v>17841.7271755</v>
      </c>
      <c r="AD33" s="77">
        <f>Y33/2</f>
        <v>14725.4019985</v>
      </c>
      <c r="AE33" s="73"/>
      <c r="AF33" s="73">
        <f>+AB33+AC33+AD33+AE33</f>
        <v>59384.485288999997</v>
      </c>
      <c r="AG33" s="281"/>
      <c r="AH33" s="74">
        <f t="shared" si="44"/>
        <v>26817.356115000002</v>
      </c>
      <c r="AI33" s="75">
        <f t="shared" si="44"/>
        <v>17841.7271755</v>
      </c>
      <c r="AJ33" s="75">
        <f t="shared" si="44"/>
        <v>14725.4019985</v>
      </c>
      <c r="AK33" s="75">
        <f>-AE33</f>
        <v>0</v>
      </c>
      <c r="AL33" s="75">
        <f>+Z33-AF33</f>
        <v>59384.485288999997</v>
      </c>
      <c r="AM33" s="150"/>
    </row>
    <row r="34" spans="1:39" s="58" customFormat="1" ht="26.25" customHeight="1" x14ac:dyDescent="0.2">
      <c r="A34" s="59" t="s">
        <v>23</v>
      </c>
      <c r="B34" s="60" t="s">
        <v>24</v>
      </c>
      <c r="C34" s="61"/>
      <c r="D34" s="61"/>
      <c r="E34" s="62" t="s">
        <v>101</v>
      </c>
      <c r="F34" s="61">
        <v>26441</v>
      </c>
      <c r="G34" s="63">
        <v>40442</v>
      </c>
      <c r="H34" s="64" t="s">
        <v>109</v>
      </c>
      <c r="I34" s="65"/>
      <c r="J34" s="61" t="s">
        <v>80</v>
      </c>
      <c r="K34" s="63">
        <v>40457</v>
      </c>
      <c r="L34" s="164" t="s">
        <v>109</v>
      </c>
      <c r="M34" s="65"/>
      <c r="N34" s="66">
        <v>2011</v>
      </c>
      <c r="O34" s="66">
        <v>2023</v>
      </c>
      <c r="P34" s="98">
        <v>54</v>
      </c>
      <c r="Q34" s="68">
        <v>69500</v>
      </c>
      <c r="R34" s="69"/>
      <c r="S34" s="70">
        <f>18800000+4300000</f>
        <v>23100000</v>
      </c>
      <c r="T34" s="70"/>
      <c r="U34" s="223">
        <f>757800+489060</f>
        <v>1246860</v>
      </c>
      <c r="V34" s="65"/>
      <c r="W34" s="71">
        <f t="shared" si="29"/>
        <v>28391.002200000003</v>
      </c>
      <c r="X34" s="71">
        <f t="shared" si="29"/>
        <v>18888.682140000001</v>
      </c>
      <c r="Y34" s="71">
        <f>ROUND(+$U34*Y$1/100,2)</f>
        <v>15589.49</v>
      </c>
      <c r="Z34" s="71">
        <f t="shared" si="30"/>
        <v>62869.174340000005</v>
      </c>
      <c r="AA34" s="65"/>
      <c r="AB34" s="72">
        <v>0</v>
      </c>
      <c r="AC34" s="73">
        <v>0</v>
      </c>
      <c r="AD34" s="73">
        <f>9474.77+6114.72</f>
        <v>15589.490000000002</v>
      </c>
      <c r="AE34" s="73"/>
      <c r="AF34" s="73">
        <f>+AB34+AC34+AD34+AE34</f>
        <v>15589.490000000002</v>
      </c>
      <c r="AG34" s="281"/>
      <c r="AH34" s="74">
        <f t="shared" si="44"/>
        <v>28391.002200000003</v>
      </c>
      <c r="AI34" s="75">
        <f t="shared" si="44"/>
        <v>18888.682140000001</v>
      </c>
      <c r="AJ34" s="75">
        <f t="shared" si="44"/>
        <v>0</v>
      </c>
      <c r="AK34" s="75">
        <f>-AE34</f>
        <v>0</v>
      </c>
      <c r="AL34" s="75">
        <f>+Z34-AF34</f>
        <v>47279.684340000007</v>
      </c>
    </row>
    <row r="35" spans="1:39" s="58" customFormat="1" ht="26.25" customHeight="1" x14ac:dyDescent="0.2">
      <c r="A35" s="59"/>
      <c r="B35" s="60"/>
      <c r="C35" s="61"/>
      <c r="D35" s="61"/>
      <c r="E35" s="62"/>
      <c r="F35" s="61"/>
      <c r="G35" s="63"/>
      <c r="H35" s="64"/>
      <c r="I35" s="65"/>
      <c r="J35" s="61"/>
      <c r="K35" s="63"/>
      <c r="L35" s="164"/>
      <c r="M35" s="65"/>
      <c r="N35" s="66"/>
      <c r="O35" s="66"/>
      <c r="P35" s="98"/>
      <c r="Q35" s="68"/>
      <c r="R35" s="69"/>
      <c r="S35" s="70"/>
      <c r="T35" s="70"/>
      <c r="U35" s="223"/>
      <c r="V35" s="65"/>
      <c r="W35" s="71"/>
      <c r="X35" s="71"/>
      <c r="Y35" s="71"/>
      <c r="Z35" s="71"/>
      <c r="AA35" s="65"/>
      <c r="AB35" s="72"/>
      <c r="AC35" s="73"/>
      <c r="AD35" s="73"/>
      <c r="AE35" s="73"/>
      <c r="AF35" s="73"/>
      <c r="AG35" s="281"/>
      <c r="AH35" s="74"/>
      <c r="AI35" s="75"/>
      <c r="AJ35" s="75"/>
      <c r="AK35" s="75"/>
      <c r="AL35" s="75"/>
    </row>
    <row r="36" spans="1:39" s="58" customFormat="1" ht="26.25" customHeight="1" x14ac:dyDescent="0.2">
      <c r="A36" s="59" t="s">
        <v>112</v>
      </c>
      <c r="B36" s="151" t="s">
        <v>110</v>
      </c>
      <c r="C36" s="60"/>
      <c r="D36" s="60"/>
      <c r="E36" s="62" t="s">
        <v>94</v>
      </c>
      <c r="F36" s="61">
        <v>293</v>
      </c>
      <c r="G36" s="63" t="s">
        <v>105</v>
      </c>
      <c r="H36" s="64" t="s">
        <v>109</v>
      </c>
      <c r="I36" s="65"/>
      <c r="J36" s="61" t="s">
        <v>70</v>
      </c>
      <c r="K36" s="63">
        <v>38903</v>
      </c>
      <c r="L36" s="164" t="s">
        <v>109</v>
      </c>
      <c r="M36" s="65"/>
      <c r="N36" s="66">
        <v>2009</v>
      </c>
      <c r="O36" s="66">
        <v>2019</v>
      </c>
      <c r="P36" s="60">
        <v>175</v>
      </c>
      <c r="Q36" s="152">
        <v>36800</v>
      </c>
      <c r="R36" s="153"/>
      <c r="S36" s="154">
        <f>17000000+58000000</f>
        <v>75000000</v>
      </c>
      <c r="T36" s="154"/>
      <c r="U36" s="223">
        <f>3466036+3961000</f>
        <v>7427036</v>
      </c>
      <c r="V36" s="65"/>
      <c r="W36" s="71">
        <f>+$U36*1.2594/100</f>
        <v>93536.091384000014</v>
      </c>
      <c r="X36" s="71">
        <f>+$U36*X$1/100</f>
        <v>112512.16836399998</v>
      </c>
      <c r="Y36" s="71">
        <f>+$U36*Y$1/100</f>
        <v>92860.231107999993</v>
      </c>
      <c r="Z36" s="71">
        <f>+W36+X36+Y36</f>
        <v>298908.49085599999</v>
      </c>
      <c r="AA36" s="65"/>
      <c r="AB36" s="155">
        <f>W36/2</f>
        <v>46768.045692000007</v>
      </c>
      <c r="AC36" s="155">
        <f>X36/2</f>
        <v>56256.084181999991</v>
      </c>
      <c r="AD36" s="155">
        <f>Y36/2</f>
        <v>46430.115553999996</v>
      </c>
      <c r="AE36" s="283"/>
      <c r="AF36" s="73">
        <f>+AB36+AC36+AD36+AE36</f>
        <v>149454.24542799999</v>
      </c>
      <c r="AG36" s="281"/>
      <c r="AH36" s="74">
        <f t="shared" ref="AH36:AJ37" si="45">+W36-AB36</f>
        <v>46768.045692000007</v>
      </c>
      <c r="AI36" s="75">
        <f t="shared" si="45"/>
        <v>56256.084181999991</v>
      </c>
      <c r="AJ36" s="75">
        <f t="shared" si="45"/>
        <v>46430.115553999996</v>
      </c>
      <c r="AK36" s="75">
        <f>-AE36</f>
        <v>0</v>
      </c>
      <c r="AL36" s="75">
        <f>+Z36-AF36</f>
        <v>149454.24542799999</v>
      </c>
    </row>
    <row r="37" spans="1:39" s="58" customFormat="1" ht="26.25" customHeight="1" x14ac:dyDescent="0.2">
      <c r="A37" s="241" t="s">
        <v>112</v>
      </c>
      <c r="B37" s="151" t="s">
        <v>139</v>
      </c>
      <c r="C37" s="151"/>
      <c r="D37" s="151"/>
      <c r="E37" s="156" t="s">
        <v>209</v>
      </c>
      <c r="F37" s="61">
        <v>472</v>
      </c>
      <c r="G37" s="63">
        <v>42310</v>
      </c>
      <c r="H37" s="64"/>
      <c r="I37" s="65"/>
      <c r="J37" s="61" t="s">
        <v>140</v>
      </c>
      <c r="K37" s="63">
        <v>42305</v>
      </c>
      <c r="L37" s="162" t="s">
        <v>109</v>
      </c>
      <c r="M37" s="65"/>
      <c r="N37" s="66">
        <v>2017</v>
      </c>
      <c r="O37" s="66">
        <v>2026</v>
      </c>
      <c r="P37" s="147">
        <v>50</v>
      </c>
      <c r="Q37" s="152">
        <v>43843</v>
      </c>
      <c r="R37" s="153"/>
      <c r="S37" s="154">
        <v>102500000</v>
      </c>
      <c r="T37" s="154"/>
      <c r="U37" s="223">
        <f>8998770+5464280</f>
        <v>14463050</v>
      </c>
      <c r="V37" s="65"/>
      <c r="W37" s="234">
        <f>+$U37*1.2594/100</f>
        <v>182147.65170000002</v>
      </c>
      <c r="X37" s="234">
        <f>+$U37*X$1/100</f>
        <v>219100.74445</v>
      </c>
      <c r="Y37" s="234">
        <f>+$U37*Y$1/100</f>
        <v>180831.51415</v>
      </c>
      <c r="Z37" s="234">
        <f>+W37+X37+Y37</f>
        <v>582079.91030000011</v>
      </c>
      <c r="AA37" s="65"/>
      <c r="AB37" s="155">
        <v>0</v>
      </c>
      <c r="AC37" s="155">
        <v>0</v>
      </c>
      <c r="AD37" s="155">
        <f>Y37</f>
        <v>180831.51415</v>
      </c>
      <c r="AE37" s="283">
        <f>SUM(W37*0.15)+SUM(X37:Y37)*0.1253</f>
        <v>77433.659757579997</v>
      </c>
      <c r="AF37" s="236">
        <f>+AB37+AC37+AD37+AE37</f>
        <v>258265.17390758</v>
      </c>
      <c r="AG37" s="281"/>
      <c r="AH37" s="237">
        <f t="shared" si="45"/>
        <v>182147.65170000002</v>
      </c>
      <c r="AI37" s="235">
        <f t="shared" si="45"/>
        <v>219100.74445</v>
      </c>
      <c r="AJ37" s="235">
        <f t="shared" si="45"/>
        <v>0</v>
      </c>
      <c r="AK37" s="235">
        <f>-AE37</f>
        <v>-77433.659757579997</v>
      </c>
      <c r="AL37" s="235">
        <f>+Z37-AF37</f>
        <v>323814.73639242013</v>
      </c>
    </row>
    <row r="38" spans="1:39" s="19" customFormat="1" ht="38.25" customHeight="1" x14ac:dyDescent="0.25">
      <c r="A38" s="287" t="s">
        <v>61</v>
      </c>
      <c r="B38" s="288"/>
      <c r="C38" s="288"/>
      <c r="D38" s="288"/>
      <c r="E38" s="288"/>
      <c r="F38" s="289"/>
      <c r="G38" s="290"/>
      <c r="H38" s="290"/>
      <c r="I38" s="291"/>
      <c r="J38" s="288"/>
      <c r="K38" s="292"/>
      <c r="L38" s="293"/>
      <c r="M38" s="291"/>
      <c r="N38" s="288"/>
      <c r="O38" s="288"/>
      <c r="P38" s="288"/>
      <c r="Q38" s="294"/>
      <c r="R38" s="295"/>
      <c r="S38" s="291"/>
      <c r="T38" s="291"/>
      <c r="U38" s="296"/>
      <c r="V38" s="291"/>
      <c r="W38" s="297"/>
      <c r="X38" s="297"/>
      <c r="Y38" s="297"/>
      <c r="Z38" s="291"/>
      <c r="AA38" s="291"/>
      <c r="AB38" s="297"/>
      <c r="AC38" s="297"/>
      <c r="AD38" s="291"/>
      <c r="AE38" s="298"/>
      <c r="AF38" s="291"/>
      <c r="AG38" s="291"/>
      <c r="AH38" s="291"/>
      <c r="AI38" s="291"/>
      <c r="AJ38" s="291"/>
      <c r="AK38" s="291"/>
      <c r="AL38" s="291"/>
    </row>
    <row r="39" spans="1:39" s="160" customFormat="1" ht="37.15" customHeight="1" x14ac:dyDescent="0.2">
      <c r="A39" s="194" t="s">
        <v>132</v>
      </c>
      <c r="B39" s="156"/>
      <c r="C39" s="156"/>
      <c r="D39" s="156"/>
      <c r="E39" s="156" t="s">
        <v>182</v>
      </c>
      <c r="F39" s="61">
        <v>28256</v>
      </c>
      <c r="G39" s="63">
        <v>42164</v>
      </c>
      <c r="H39" s="107" t="s">
        <v>109</v>
      </c>
      <c r="I39" s="99"/>
      <c r="J39" s="156" t="s">
        <v>118</v>
      </c>
      <c r="K39" s="157">
        <v>42186</v>
      </c>
      <c r="L39" s="162" t="s">
        <v>109</v>
      </c>
      <c r="M39" s="99"/>
      <c r="N39" s="156">
        <v>2017</v>
      </c>
      <c r="O39" s="156">
        <v>2030</v>
      </c>
      <c r="P39" s="156"/>
      <c r="Q39" s="68"/>
      <c r="R39" s="158" t="s">
        <v>125</v>
      </c>
      <c r="S39" s="99"/>
      <c r="T39" s="99"/>
      <c r="U39" s="99">
        <v>3543800</v>
      </c>
      <c r="V39" s="99"/>
      <c r="W39" s="186">
        <f t="shared" ref="W39:Y57" si="46">+$U39*W$1/100</f>
        <v>80692.326000000001</v>
      </c>
      <c r="X39" s="186">
        <f t="shared" si="46"/>
        <v>53685.0262</v>
      </c>
      <c r="Y39" s="186">
        <f t="shared" si="46"/>
        <v>44308.131399999998</v>
      </c>
      <c r="Z39" s="186">
        <f t="shared" ref="Z39" si="47">+W39+X39+Y39</f>
        <v>178685.48359999998</v>
      </c>
      <c r="AA39" s="99"/>
      <c r="AB39" s="159">
        <v>0</v>
      </c>
      <c r="AC39" s="159">
        <v>0</v>
      </c>
      <c r="AD39" s="159">
        <f>Y39</f>
        <v>44308.131399999998</v>
      </c>
      <c r="AE39" s="159"/>
      <c r="AF39" s="188">
        <f t="shared" ref="AF39:AF57" si="48">+AB39+AC39+AD39+AE39</f>
        <v>44308.131399999998</v>
      </c>
      <c r="AG39" s="99"/>
      <c r="AH39" s="189">
        <f t="shared" ref="AH39" si="49">+W39-AB39</f>
        <v>80692.326000000001</v>
      </c>
      <c r="AI39" s="187">
        <f t="shared" ref="AI39" si="50">+X39-AC39</f>
        <v>53685.0262</v>
      </c>
      <c r="AJ39" s="187">
        <f t="shared" ref="AJ39" si="51">+Y39-AD39</f>
        <v>0</v>
      </c>
      <c r="AK39" s="187">
        <f t="shared" ref="AK39" si="52">-AE39</f>
        <v>0</v>
      </c>
      <c r="AL39" s="187">
        <f t="shared" ref="AL39" si="53">+Z39-AF39</f>
        <v>134377.35219999996</v>
      </c>
    </row>
    <row r="40" spans="1:39" s="160" customFormat="1" ht="40.5" customHeight="1" x14ac:dyDescent="0.2">
      <c r="A40" s="233" t="s">
        <v>198</v>
      </c>
      <c r="B40" s="217" t="s">
        <v>199</v>
      </c>
      <c r="C40" s="156"/>
      <c r="D40" s="156"/>
      <c r="E40" s="156" t="s">
        <v>218</v>
      </c>
      <c r="F40" s="218">
        <v>29215</v>
      </c>
      <c r="G40" s="219">
        <v>43025</v>
      </c>
      <c r="H40" s="215" t="s">
        <v>109</v>
      </c>
      <c r="I40" s="99"/>
      <c r="J40" s="156" t="s">
        <v>197</v>
      </c>
      <c r="K40" s="157">
        <v>43089</v>
      </c>
      <c r="L40" s="162" t="s">
        <v>109</v>
      </c>
      <c r="M40" s="99"/>
      <c r="N40" s="156">
        <v>2018</v>
      </c>
      <c r="O40" s="156">
        <v>2032</v>
      </c>
      <c r="P40" s="156"/>
      <c r="Q40" s="216"/>
      <c r="R40" s="158"/>
      <c r="S40" s="99"/>
      <c r="T40" s="99"/>
      <c r="U40" s="99">
        <f>251720+822560+266120</f>
        <v>1340400</v>
      </c>
      <c r="V40" s="99"/>
      <c r="W40" s="248">
        <f>(261440+889440+316000)*W$1/100</f>
        <v>33400.857600000003</v>
      </c>
      <c r="X40" s="248">
        <f t="shared" si="46"/>
        <v>20305.7196</v>
      </c>
      <c r="Y40" s="248">
        <f t="shared" si="46"/>
        <v>16759.021199999999</v>
      </c>
      <c r="Z40" s="248">
        <f t="shared" ref="Z40" si="54">+W40+X40+Y40</f>
        <v>70465.598400000003</v>
      </c>
      <c r="AA40" s="99"/>
      <c r="AB40" s="159">
        <f>W40</f>
        <v>33400.857600000003</v>
      </c>
      <c r="AC40" s="250">
        <f>X40</f>
        <v>20305.7196</v>
      </c>
      <c r="AD40" s="159">
        <f>Y40</f>
        <v>16759.021199999999</v>
      </c>
      <c r="AE40" s="159"/>
      <c r="AF40" s="250">
        <f t="shared" si="48"/>
        <v>70465.598400000003</v>
      </c>
      <c r="AG40" s="99"/>
      <c r="AH40" s="251">
        <f t="shared" ref="AH40" si="55">+W40-AB40</f>
        <v>0</v>
      </c>
      <c r="AI40" s="249">
        <f t="shared" ref="AI40" si="56">+X40-AC40</f>
        <v>0</v>
      </c>
      <c r="AJ40" s="249">
        <f t="shared" ref="AJ40" si="57">+Y40-AD40</f>
        <v>0</v>
      </c>
      <c r="AK40" s="249">
        <f t="shared" ref="AK40" si="58">-AE40</f>
        <v>0</v>
      </c>
      <c r="AL40" s="249">
        <f t="shared" ref="AL40" si="59">+Z40-AF40</f>
        <v>0</v>
      </c>
    </row>
    <row r="41" spans="1:39" s="58" customFormat="1" ht="25.5" customHeight="1" x14ac:dyDescent="0.2">
      <c r="A41" s="59" t="s">
        <v>167</v>
      </c>
      <c r="B41" s="60" t="s">
        <v>34</v>
      </c>
      <c r="C41" s="61">
        <v>35.035924999999999</v>
      </c>
      <c r="D41" s="61">
        <v>-85.311306999999999</v>
      </c>
      <c r="E41" s="62" t="s">
        <v>89</v>
      </c>
      <c r="F41" s="61">
        <v>23253</v>
      </c>
      <c r="G41" s="63">
        <v>37264</v>
      </c>
      <c r="H41" s="64" t="s">
        <v>109</v>
      </c>
      <c r="I41" s="65"/>
      <c r="J41" s="61" t="s">
        <v>65</v>
      </c>
      <c r="K41" s="63">
        <v>37349</v>
      </c>
      <c r="L41" s="164" t="s">
        <v>109</v>
      </c>
      <c r="M41" s="65"/>
      <c r="N41" s="66">
        <v>2003</v>
      </c>
      <c r="O41" s="66">
        <v>2018</v>
      </c>
      <c r="P41" s="161"/>
      <c r="Q41" s="68"/>
      <c r="R41" s="69"/>
      <c r="S41" s="65"/>
      <c r="T41" s="70"/>
      <c r="U41" s="223">
        <v>867840</v>
      </c>
      <c r="V41" s="65"/>
      <c r="W41" s="71">
        <f t="shared" si="46"/>
        <v>19760.716800000002</v>
      </c>
      <c r="X41" s="71">
        <f t="shared" si="46"/>
        <v>13146.908159999999</v>
      </c>
      <c r="Y41" s="71">
        <f t="shared" si="46"/>
        <v>10850.603519999999</v>
      </c>
      <c r="Z41" s="71">
        <f t="shared" ref="Z41:Z55" si="60">+W41+X41+Y41</f>
        <v>43758.228479999998</v>
      </c>
      <c r="AA41" s="65"/>
      <c r="AB41" s="72">
        <v>16196.24</v>
      </c>
      <c r="AC41" s="73">
        <f>19669.65*$X$1/($X$1+$Y$1)</f>
        <v>10775.912333646753</v>
      </c>
      <c r="AD41" s="73">
        <f>19669.65-AC41</f>
        <v>8893.7376663532486</v>
      </c>
      <c r="AE41" s="73"/>
      <c r="AF41" s="73">
        <f t="shared" si="48"/>
        <v>35865.89</v>
      </c>
      <c r="AG41" s="281"/>
      <c r="AH41" s="74">
        <f t="shared" ref="AH41:AJ55" si="61">+W41-AB41</f>
        <v>3564.4768000000022</v>
      </c>
      <c r="AI41" s="75">
        <f t="shared" si="61"/>
        <v>2370.9958263532462</v>
      </c>
      <c r="AJ41" s="75">
        <f t="shared" si="61"/>
        <v>1956.8658536467501</v>
      </c>
      <c r="AK41" s="75">
        <f t="shared" ref="AK41:AK55" si="62">-AE41</f>
        <v>0</v>
      </c>
      <c r="AL41" s="75">
        <f t="shared" ref="AL41:AL55" si="63">+Z41-AF41</f>
        <v>7892.3384799999985</v>
      </c>
    </row>
    <row r="42" spans="1:39" s="58" customFormat="1" ht="63.75" customHeight="1" x14ac:dyDescent="0.2">
      <c r="A42" s="59" t="s">
        <v>122</v>
      </c>
      <c r="B42" s="60" t="s">
        <v>126</v>
      </c>
      <c r="C42" s="61"/>
      <c r="D42" s="61"/>
      <c r="E42" s="62" t="s">
        <v>153</v>
      </c>
      <c r="F42" s="61">
        <v>28165</v>
      </c>
      <c r="G42" s="63">
        <v>42073</v>
      </c>
      <c r="H42" s="107" t="s">
        <v>109</v>
      </c>
      <c r="I42" s="65"/>
      <c r="J42" s="61" t="s">
        <v>115</v>
      </c>
      <c r="K42" s="63">
        <v>42081</v>
      </c>
      <c r="L42" s="162" t="s">
        <v>109</v>
      </c>
      <c r="M42" s="65"/>
      <c r="N42" s="66">
        <v>2015</v>
      </c>
      <c r="O42" s="66">
        <v>2031</v>
      </c>
      <c r="P42" s="161"/>
      <c r="Q42" s="68"/>
      <c r="R42" s="158" t="s">
        <v>234</v>
      </c>
      <c r="S42" s="65"/>
      <c r="T42" s="70"/>
      <c r="U42" s="223">
        <f>1295800+15003</f>
        <v>1310803</v>
      </c>
      <c r="V42" s="65"/>
      <c r="W42" s="71">
        <f t="shared" si="46"/>
        <v>29846.984310000003</v>
      </c>
      <c r="X42" s="71">
        <f t="shared" si="46"/>
        <v>19857.354647</v>
      </c>
      <c r="Y42" s="71">
        <f t="shared" si="46"/>
        <v>16388.969908999999</v>
      </c>
      <c r="Z42" s="71">
        <f>+W42+X42+Y42</f>
        <v>66093.308866000007</v>
      </c>
      <c r="AA42" s="65"/>
      <c r="AB42" s="72">
        <v>0</v>
      </c>
      <c r="AC42" s="72">
        <v>0</v>
      </c>
      <c r="AD42" s="72">
        <f>Y42</f>
        <v>16388.969908999999</v>
      </c>
      <c r="AE42" s="73"/>
      <c r="AF42" s="73">
        <f t="shared" si="48"/>
        <v>16388.969908999999</v>
      </c>
      <c r="AG42" s="281"/>
      <c r="AH42" s="74">
        <f>+W42-AB42</f>
        <v>29846.984310000003</v>
      </c>
      <c r="AI42" s="75">
        <f>+X42-AC42</f>
        <v>19857.354647</v>
      </c>
      <c r="AJ42" s="75">
        <f>+Y42-AD42</f>
        <v>0</v>
      </c>
      <c r="AK42" s="75">
        <f>-AE42</f>
        <v>0</v>
      </c>
      <c r="AL42" s="75">
        <f t="shared" si="63"/>
        <v>49704.338957000007</v>
      </c>
    </row>
    <row r="43" spans="1:39" s="58" customFormat="1" ht="42.6" customHeight="1" x14ac:dyDescent="0.2">
      <c r="A43" s="103" t="s">
        <v>149</v>
      </c>
      <c r="B43" s="104" t="s">
        <v>150</v>
      </c>
      <c r="C43" s="105"/>
      <c r="D43" s="105"/>
      <c r="E43" s="106"/>
      <c r="F43" s="61">
        <v>28815</v>
      </c>
      <c r="G43" s="63">
        <v>42661</v>
      </c>
      <c r="H43" s="107" t="s">
        <v>109</v>
      </c>
      <c r="I43" s="65"/>
      <c r="J43" s="61" t="s">
        <v>151</v>
      </c>
      <c r="K43" s="63">
        <v>42676</v>
      </c>
      <c r="L43" s="162" t="s">
        <v>109</v>
      </c>
      <c r="M43" s="65"/>
      <c r="N43" s="66">
        <v>2019</v>
      </c>
      <c r="O43" s="66">
        <v>2033</v>
      </c>
      <c r="P43" s="161"/>
      <c r="Q43" s="68"/>
      <c r="R43" s="158" t="s">
        <v>152</v>
      </c>
      <c r="S43" s="65"/>
      <c r="T43" s="70"/>
      <c r="U43" s="223"/>
      <c r="V43" s="65"/>
      <c r="W43" s="71">
        <f t="shared" si="46"/>
        <v>0</v>
      </c>
      <c r="X43" s="71">
        <f t="shared" si="46"/>
        <v>0</v>
      </c>
      <c r="Y43" s="71">
        <f t="shared" si="46"/>
        <v>0</v>
      </c>
      <c r="Z43" s="71">
        <f>+W43+X43+Y43</f>
        <v>0</v>
      </c>
      <c r="AA43" s="65"/>
      <c r="AB43" s="72"/>
      <c r="AC43" s="72"/>
      <c r="AD43" s="72"/>
      <c r="AE43" s="73"/>
      <c r="AF43" s="73"/>
      <c r="AG43" s="281"/>
      <c r="AH43" s="74"/>
      <c r="AI43" s="75"/>
      <c r="AJ43" s="75"/>
      <c r="AK43" s="75"/>
      <c r="AL43" s="75"/>
    </row>
    <row r="44" spans="1:39" s="58" customFormat="1" ht="25.5" customHeight="1" x14ac:dyDescent="0.2">
      <c r="A44" s="59" t="s">
        <v>35</v>
      </c>
      <c r="B44" s="60" t="s">
        <v>36</v>
      </c>
      <c r="C44" s="61">
        <v>35.061832000000003</v>
      </c>
      <c r="D44" s="61">
        <v>-85.305651999999995</v>
      </c>
      <c r="E44" s="62" t="s">
        <v>142</v>
      </c>
      <c r="F44" s="61">
        <v>23253</v>
      </c>
      <c r="G44" s="63">
        <v>37264</v>
      </c>
      <c r="H44" s="64" t="s">
        <v>109</v>
      </c>
      <c r="I44" s="65"/>
      <c r="J44" s="61" t="s">
        <v>65</v>
      </c>
      <c r="K44" s="63">
        <v>37349</v>
      </c>
      <c r="L44" s="164" t="s">
        <v>109</v>
      </c>
      <c r="M44" s="65"/>
      <c r="N44" s="66">
        <v>2005</v>
      </c>
      <c r="O44" s="66">
        <v>2018</v>
      </c>
      <c r="P44" s="161"/>
      <c r="Q44" s="68"/>
      <c r="R44" s="69"/>
      <c r="S44" s="65"/>
      <c r="T44" s="70"/>
      <c r="U44" s="223">
        <f>1283040+321</f>
        <v>1283361</v>
      </c>
      <c r="V44" s="65"/>
      <c r="W44" s="71">
        <f t="shared" si="46"/>
        <v>29222.129969999998</v>
      </c>
      <c r="X44" s="71">
        <f t="shared" si="46"/>
        <v>19441.635789</v>
      </c>
      <c r="Y44" s="71">
        <f t="shared" si="46"/>
        <v>16045.862582999998</v>
      </c>
      <c r="Z44" s="71">
        <f t="shared" si="60"/>
        <v>64709.628341999996</v>
      </c>
      <c r="AA44" s="65"/>
      <c r="AB44" s="72">
        <f>23495.44+5.85</f>
        <v>23501.289999999997</v>
      </c>
      <c r="AC44" s="73">
        <f>(28533.25+7.1)*X1/(X1+Y1)</f>
        <v>15635.677786416894</v>
      </c>
      <c r="AD44" s="100">
        <f>(28533.25+7.1)-AC44</f>
        <v>12904.672213583104</v>
      </c>
      <c r="AE44" s="73"/>
      <c r="AF44" s="73">
        <f t="shared" si="48"/>
        <v>52041.64</v>
      </c>
      <c r="AG44" s="281"/>
      <c r="AH44" s="74">
        <f t="shared" si="61"/>
        <v>5720.8399700000009</v>
      </c>
      <c r="AI44" s="75">
        <f t="shared" si="61"/>
        <v>3805.9580025831056</v>
      </c>
      <c r="AJ44" s="75">
        <f t="shared" si="61"/>
        <v>3141.1903694168941</v>
      </c>
      <c r="AK44" s="75">
        <f t="shared" si="62"/>
        <v>0</v>
      </c>
      <c r="AL44" s="75">
        <f t="shared" si="63"/>
        <v>12667.988341999997</v>
      </c>
    </row>
    <row r="45" spans="1:39" s="58" customFormat="1" ht="48.6" customHeight="1" x14ac:dyDescent="0.2">
      <c r="A45" s="59" t="s">
        <v>123</v>
      </c>
      <c r="B45" s="60" t="s">
        <v>158</v>
      </c>
      <c r="C45" s="61"/>
      <c r="D45" s="61"/>
      <c r="E45" s="62" t="s">
        <v>208</v>
      </c>
      <c r="F45" s="61">
        <v>28233</v>
      </c>
      <c r="G45" s="63">
        <v>42129</v>
      </c>
      <c r="H45" s="107" t="s">
        <v>109</v>
      </c>
      <c r="I45" s="65"/>
      <c r="J45" s="61" t="s">
        <v>116</v>
      </c>
      <c r="K45" s="63">
        <v>42130</v>
      </c>
      <c r="L45" s="162" t="s">
        <v>109</v>
      </c>
      <c r="M45" s="65"/>
      <c r="N45" s="66">
        <v>2016</v>
      </c>
      <c r="O45" s="66">
        <v>2034</v>
      </c>
      <c r="P45" s="161"/>
      <c r="Q45" s="68"/>
      <c r="R45" s="158" t="s">
        <v>127</v>
      </c>
      <c r="S45" s="65"/>
      <c r="T45" s="70"/>
      <c r="U45" s="223">
        <f>2475600+1119</f>
        <v>2476719</v>
      </c>
      <c r="V45" s="65"/>
      <c r="W45" s="71">
        <f t="shared" si="46"/>
        <v>56394.891630000006</v>
      </c>
      <c r="X45" s="71">
        <f t="shared" si="46"/>
        <v>37519.816131</v>
      </c>
      <c r="Y45" s="71">
        <f t="shared" si="46"/>
        <v>30966.417656999998</v>
      </c>
      <c r="Z45" s="71">
        <f>+W45+X45+Y45</f>
        <v>124881.125418</v>
      </c>
      <c r="AA45" s="65"/>
      <c r="AB45" s="72">
        <v>0</v>
      </c>
      <c r="AC45" s="72">
        <v>0</v>
      </c>
      <c r="AD45" s="72">
        <f>Y45</f>
        <v>30966.417656999998</v>
      </c>
      <c r="AE45" s="73"/>
      <c r="AF45" s="73">
        <f>+AB45+AC45+AD45+AE45</f>
        <v>30966.417656999998</v>
      </c>
      <c r="AG45" s="281"/>
      <c r="AH45" s="74">
        <f>+W45-AB45</f>
        <v>56394.891630000006</v>
      </c>
      <c r="AI45" s="75">
        <f>+X45-AC45</f>
        <v>37519.816131</v>
      </c>
      <c r="AJ45" s="75">
        <f>+Y45-AD45</f>
        <v>0</v>
      </c>
      <c r="AK45" s="75">
        <f>-AE45</f>
        <v>0</v>
      </c>
      <c r="AL45" s="75">
        <f>+Z45-AF45</f>
        <v>93914.707760999998</v>
      </c>
    </row>
    <row r="46" spans="1:39" s="58" customFormat="1" ht="25.5" customHeight="1" x14ac:dyDescent="0.2">
      <c r="A46" s="59" t="s">
        <v>37</v>
      </c>
      <c r="B46" s="60" t="s">
        <v>227</v>
      </c>
      <c r="C46" s="102"/>
      <c r="D46" s="102"/>
      <c r="E46" s="62" t="s">
        <v>93</v>
      </c>
      <c r="F46" s="61">
        <v>23253</v>
      </c>
      <c r="G46" s="63">
        <v>38611</v>
      </c>
      <c r="H46" s="64" t="s">
        <v>109</v>
      </c>
      <c r="I46" s="65"/>
      <c r="J46" s="61" t="s">
        <v>65</v>
      </c>
      <c r="K46" s="63">
        <v>37349</v>
      </c>
      <c r="L46" s="164" t="s">
        <v>109</v>
      </c>
      <c r="M46" s="65"/>
      <c r="N46" s="66">
        <v>2006</v>
      </c>
      <c r="O46" s="66">
        <v>2021</v>
      </c>
      <c r="P46" s="161"/>
      <c r="Q46" s="68"/>
      <c r="R46" s="69"/>
      <c r="S46" s="65"/>
      <c r="T46" s="70"/>
      <c r="U46" s="223">
        <v>890640</v>
      </c>
      <c r="V46" s="65"/>
      <c r="W46" s="71">
        <f t="shared" si="46"/>
        <v>20279.872800000001</v>
      </c>
      <c r="X46" s="71">
        <f t="shared" si="46"/>
        <v>13492.305359999998</v>
      </c>
      <c r="Y46" s="71">
        <f t="shared" si="46"/>
        <v>11135.671920000001</v>
      </c>
      <c r="Z46" s="71">
        <f t="shared" si="60"/>
        <v>44907.850079999997</v>
      </c>
      <c r="AA46" s="65"/>
      <c r="AB46" s="72">
        <v>5680.17</v>
      </c>
      <c r="AC46" s="239">
        <f>7060*X1/(X1+Y1)</f>
        <v>3867.7831621582523</v>
      </c>
      <c r="AD46" s="239">
        <f>7060-AC46</f>
        <v>3192.2168378417477</v>
      </c>
      <c r="AE46" s="73"/>
      <c r="AF46" s="73">
        <f t="shared" si="48"/>
        <v>12740.17</v>
      </c>
      <c r="AG46" s="281"/>
      <c r="AH46" s="74">
        <f t="shared" si="61"/>
        <v>14599.702800000001</v>
      </c>
      <c r="AI46" s="75">
        <f t="shared" si="61"/>
        <v>9624.5221978417467</v>
      </c>
      <c r="AJ46" s="75">
        <f t="shared" si="61"/>
        <v>7943.4550821582525</v>
      </c>
      <c r="AK46" s="75">
        <f t="shared" si="62"/>
        <v>0</v>
      </c>
      <c r="AL46" s="75">
        <f t="shared" si="63"/>
        <v>32167.680079999998</v>
      </c>
    </row>
    <row r="47" spans="1:39" s="58" customFormat="1" ht="25.5" customHeight="1" x14ac:dyDescent="0.2">
      <c r="A47" s="103" t="s">
        <v>224</v>
      </c>
      <c r="B47" s="104" t="s">
        <v>226</v>
      </c>
      <c r="C47" s="252"/>
      <c r="D47" s="252"/>
      <c r="E47" s="106"/>
      <c r="F47" s="279">
        <v>29744</v>
      </c>
      <c r="G47" s="280">
        <v>43452</v>
      </c>
      <c r="H47" s="273" t="s">
        <v>109</v>
      </c>
      <c r="I47" s="277"/>
      <c r="J47" s="279" t="s">
        <v>225</v>
      </c>
      <c r="K47" s="280">
        <v>43481</v>
      </c>
      <c r="L47" s="164"/>
      <c r="M47" s="277"/>
      <c r="N47" s="274">
        <v>2020</v>
      </c>
      <c r="O47" s="274">
        <v>2044</v>
      </c>
      <c r="P47" s="161"/>
      <c r="Q47" s="275"/>
      <c r="R47" s="69"/>
      <c r="S47" s="277"/>
      <c r="T47" s="276"/>
      <c r="U47" s="277"/>
      <c r="V47" s="277"/>
      <c r="W47" s="272"/>
      <c r="X47" s="272"/>
      <c r="Y47" s="272"/>
      <c r="Z47" s="272"/>
      <c r="AA47" s="277"/>
      <c r="AB47" s="278"/>
      <c r="AC47" s="270"/>
      <c r="AD47" s="270"/>
      <c r="AE47" s="270"/>
      <c r="AF47" s="270"/>
      <c r="AG47" s="281"/>
      <c r="AH47" s="271"/>
      <c r="AI47" s="269"/>
      <c r="AJ47" s="269"/>
      <c r="AK47" s="269"/>
      <c r="AL47" s="269"/>
    </row>
    <row r="48" spans="1:39" s="58" customFormat="1" ht="51.75" customHeight="1" x14ac:dyDescent="0.2">
      <c r="A48" s="103" t="s">
        <v>200</v>
      </c>
      <c r="B48" s="104" t="s">
        <v>202</v>
      </c>
      <c r="C48" s="252"/>
      <c r="D48" s="252"/>
      <c r="E48" s="106"/>
      <c r="F48" s="226">
        <v>29634</v>
      </c>
      <c r="G48" s="227">
        <v>43368</v>
      </c>
      <c r="H48" s="231" t="s">
        <v>109</v>
      </c>
      <c r="I48" s="223"/>
      <c r="J48" s="226" t="s">
        <v>201</v>
      </c>
      <c r="K48" s="227">
        <v>43376</v>
      </c>
      <c r="L48" s="162" t="s">
        <v>109</v>
      </c>
      <c r="M48" s="223"/>
      <c r="N48" s="220">
        <v>2019</v>
      </c>
      <c r="O48" s="220">
        <v>2033</v>
      </c>
      <c r="P48" s="161"/>
      <c r="Q48" s="221"/>
      <c r="R48" s="69" t="s">
        <v>203</v>
      </c>
      <c r="S48" s="223"/>
      <c r="T48" s="222"/>
      <c r="U48" s="306">
        <v>2273200</v>
      </c>
      <c r="V48" s="223"/>
      <c r="W48" s="224"/>
      <c r="X48" s="224"/>
      <c r="Y48" s="224"/>
      <c r="Z48" s="224"/>
      <c r="AA48" s="223"/>
      <c r="AB48" s="225"/>
      <c r="AC48" s="100"/>
      <c r="AD48" s="100"/>
      <c r="AE48" s="229"/>
      <c r="AF48" s="229"/>
      <c r="AG48" s="281"/>
      <c r="AH48" s="230"/>
      <c r="AI48" s="228"/>
      <c r="AJ48" s="228"/>
      <c r="AK48" s="228"/>
      <c r="AL48" s="228"/>
    </row>
    <row r="49" spans="1:45" s="58" customFormat="1" ht="25.5" customHeight="1" x14ac:dyDescent="0.2">
      <c r="A49" s="59" t="s">
        <v>38</v>
      </c>
      <c r="B49" s="60" t="s">
        <v>39</v>
      </c>
      <c r="C49" s="61">
        <v>35.040156000000003</v>
      </c>
      <c r="D49" s="61">
        <v>-85.307471000000007</v>
      </c>
      <c r="E49" s="62" t="s">
        <v>97</v>
      </c>
      <c r="F49" s="61">
        <v>23253</v>
      </c>
      <c r="G49" s="63">
        <v>37264</v>
      </c>
      <c r="H49" s="64" t="s">
        <v>109</v>
      </c>
      <c r="I49" s="65"/>
      <c r="J49" s="61" t="s">
        <v>65</v>
      </c>
      <c r="K49" s="63">
        <v>37349</v>
      </c>
      <c r="L49" s="162" t="s">
        <v>109</v>
      </c>
      <c r="M49" s="65"/>
      <c r="N49" s="66">
        <v>2003</v>
      </c>
      <c r="O49" s="66">
        <v>2020</v>
      </c>
      <c r="P49" s="161"/>
      <c r="Q49" s="68"/>
      <c r="R49" s="69"/>
      <c r="S49" s="65"/>
      <c r="T49" s="70"/>
      <c r="U49" s="223">
        <v>577120</v>
      </c>
      <c r="V49" s="65"/>
      <c r="W49" s="71">
        <f t="shared" si="46"/>
        <v>13141.0224</v>
      </c>
      <c r="X49" s="71">
        <f t="shared" si="46"/>
        <v>8742.7908800000005</v>
      </c>
      <c r="Y49" s="71">
        <f t="shared" si="46"/>
        <v>7215.7313599999998</v>
      </c>
      <c r="Z49" s="71">
        <f t="shared" si="60"/>
        <v>29099.54464</v>
      </c>
      <c r="AA49" s="65"/>
      <c r="AB49" s="72">
        <v>6313.73</v>
      </c>
      <c r="AC49" s="238">
        <f>7669.76*X1/(X1+Y1)</f>
        <v>4201.836910169246</v>
      </c>
      <c r="AD49" s="238">
        <f>7669.76-AC49</f>
        <v>3467.9230898307542</v>
      </c>
      <c r="AE49" s="73"/>
      <c r="AF49" s="73">
        <f t="shared" si="48"/>
        <v>13983.49</v>
      </c>
      <c r="AG49" s="281"/>
      <c r="AH49" s="74">
        <f t="shared" si="61"/>
        <v>6827.2924000000003</v>
      </c>
      <c r="AI49" s="75">
        <f t="shared" si="61"/>
        <v>4540.9539698307544</v>
      </c>
      <c r="AJ49" s="75">
        <f t="shared" si="61"/>
        <v>3747.8082701692456</v>
      </c>
      <c r="AK49" s="75">
        <f t="shared" si="62"/>
        <v>0</v>
      </c>
      <c r="AL49" s="75">
        <f t="shared" si="63"/>
        <v>15116.05464</v>
      </c>
    </row>
    <row r="50" spans="1:45" s="58" customFormat="1" ht="25.5" hidden="1" customHeight="1" x14ac:dyDescent="0.2">
      <c r="A50" s="246" t="s">
        <v>160</v>
      </c>
      <c r="B50" s="151" t="s">
        <v>233</v>
      </c>
      <c r="C50" s="247"/>
      <c r="D50" s="247"/>
      <c r="E50" s="156"/>
      <c r="F50" s="61">
        <v>28852</v>
      </c>
      <c r="G50" s="63">
        <v>42710</v>
      </c>
      <c r="H50" s="107" t="s">
        <v>109</v>
      </c>
      <c r="I50" s="65"/>
      <c r="J50" s="61" t="s">
        <v>159</v>
      </c>
      <c r="K50" s="63">
        <v>42725</v>
      </c>
      <c r="L50" s="162" t="s">
        <v>109</v>
      </c>
      <c r="M50" s="65"/>
      <c r="N50" s="66">
        <v>2017</v>
      </c>
      <c r="O50" s="66">
        <v>2037</v>
      </c>
      <c r="P50" s="161"/>
      <c r="Q50" s="68"/>
      <c r="R50" s="163" t="s">
        <v>163</v>
      </c>
      <c r="S50" s="65"/>
      <c r="T50" s="70"/>
      <c r="U50" s="223"/>
      <c r="V50" s="65"/>
      <c r="W50" s="71"/>
      <c r="X50" s="71"/>
      <c r="Y50" s="71"/>
      <c r="Z50" s="71"/>
      <c r="AA50" s="65"/>
      <c r="AB50" s="72"/>
      <c r="AC50" s="100"/>
      <c r="AD50" s="100"/>
      <c r="AE50" s="73"/>
      <c r="AF50" s="73"/>
      <c r="AG50" s="281"/>
      <c r="AH50" s="74"/>
      <c r="AI50" s="75"/>
      <c r="AJ50" s="75"/>
      <c r="AK50" s="75"/>
      <c r="AL50" s="75"/>
    </row>
    <row r="51" spans="1:45" s="58" customFormat="1" ht="65.25" customHeight="1" x14ac:dyDescent="0.2">
      <c r="A51" s="195" t="s">
        <v>175</v>
      </c>
      <c r="B51" s="196" t="s">
        <v>176</v>
      </c>
      <c r="C51" s="177"/>
      <c r="D51" s="177"/>
      <c r="E51" s="197" t="s">
        <v>183</v>
      </c>
      <c r="F51" s="173">
        <v>28336</v>
      </c>
      <c r="G51" s="175">
        <v>42206</v>
      </c>
      <c r="H51" s="84" t="s">
        <v>109</v>
      </c>
      <c r="I51" s="176"/>
      <c r="J51" s="173" t="s">
        <v>177</v>
      </c>
      <c r="K51" s="175">
        <v>42221</v>
      </c>
      <c r="L51" s="88" t="s">
        <v>109</v>
      </c>
      <c r="M51" s="176"/>
      <c r="N51" s="177">
        <v>2017</v>
      </c>
      <c r="O51" s="177">
        <v>2031</v>
      </c>
      <c r="P51" s="178"/>
      <c r="Q51" s="179"/>
      <c r="R51" s="180" t="s">
        <v>178</v>
      </c>
      <c r="S51" s="176"/>
      <c r="T51" s="181"/>
      <c r="U51" s="176">
        <v>6335720</v>
      </c>
      <c r="V51" s="176"/>
      <c r="W51" s="190">
        <f t="shared" si="46"/>
        <v>144264.3444</v>
      </c>
      <c r="X51" s="190">
        <f t="shared" si="46"/>
        <v>95979.822280000008</v>
      </c>
      <c r="Y51" s="190">
        <f t="shared" si="46"/>
        <v>79215.507159999994</v>
      </c>
      <c r="Z51" s="190">
        <f t="shared" ref="Z51" si="64">+W51+X51+Y51</f>
        <v>319459.67384</v>
      </c>
      <c r="AA51" s="176"/>
      <c r="AB51" s="182">
        <v>0</v>
      </c>
      <c r="AC51" s="183">
        <v>0</v>
      </c>
      <c r="AD51" s="183">
        <f>Y51</f>
        <v>79215.507159999994</v>
      </c>
      <c r="AE51" s="184"/>
      <c r="AF51" s="191">
        <f t="shared" si="48"/>
        <v>79215.507159999994</v>
      </c>
      <c r="AG51" s="176"/>
      <c r="AH51" s="193">
        <f t="shared" ref="AH51" si="65">+W51-AB51</f>
        <v>144264.3444</v>
      </c>
      <c r="AI51" s="192">
        <f t="shared" ref="AI51" si="66">+X51-AC51</f>
        <v>95979.822280000008</v>
      </c>
      <c r="AJ51" s="192">
        <f t="shared" ref="AJ51" si="67">+Y51-AD51</f>
        <v>0</v>
      </c>
      <c r="AK51" s="192">
        <f t="shared" ref="AK51" si="68">-AE51</f>
        <v>0</v>
      </c>
      <c r="AL51" s="192">
        <f t="shared" ref="AL51" si="69">+Z51-AF51</f>
        <v>240244.16668000002</v>
      </c>
      <c r="AM51" s="174"/>
    </row>
    <row r="52" spans="1:45" s="58" customFormat="1" ht="42.6" customHeight="1" x14ac:dyDescent="0.2">
      <c r="A52" s="148" t="s">
        <v>120</v>
      </c>
      <c r="B52" s="125" t="s">
        <v>121</v>
      </c>
      <c r="C52" s="126"/>
      <c r="D52" s="127"/>
      <c r="E52" s="128" t="s">
        <v>156</v>
      </c>
      <c r="F52" s="127">
        <v>28139</v>
      </c>
      <c r="G52" s="128">
        <v>42045</v>
      </c>
      <c r="H52" s="149" t="s">
        <v>109</v>
      </c>
      <c r="I52" s="125"/>
      <c r="J52" s="127" t="s">
        <v>114</v>
      </c>
      <c r="K52" s="128">
        <v>42053</v>
      </c>
      <c r="L52" s="162" t="s">
        <v>109</v>
      </c>
      <c r="M52" s="135"/>
      <c r="N52" s="133">
        <v>2016</v>
      </c>
      <c r="O52" s="133">
        <v>2030</v>
      </c>
      <c r="P52" s="69"/>
      <c r="Q52" s="135"/>
      <c r="R52" s="158" t="s">
        <v>128</v>
      </c>
      <c r="S52" s="135"/>
      <c r="T52" s="135"/>
      <c r="U52" s="223">
        <f>1915760+51869</f>
        <v>1967629</v>
      </c>
      <c r="V52" s="135"/>
      <c r="W52" s="136">
        <f t="shared" si="46"/>
        <v>44802.912329999999</v>
      </c>
      <c r="X52" s="136">
        <f t="shared" si="46"/>
        <v>29807.611720999997</v>
      </c>
      <c r="Y52" s="136">
        <f t="shared" si="46"/>
        <v>24601.265386999999</v>
      </c>
      <c r="Z52" s="136">
        <f>+W52+X52+Y52</f>
        <v>99211.789438000007</v>
      </c>
      <c r="AA52" s="135"/>
      <c r="AB52" s="137">
        <v>0</v>
      </c>
      <c r="AC52" s="100">
        <v>0</v>
      </c>
      <c r="AD52" s="100">
        <f>Y52</f>
        <v>24601.265386999999</v>
      </c>
      <c r="AE52" s="138"/>
      <c r="AF52" s="138">
        <f t="shared" si="48"/>
        <v>24601.265386999999</v>
      </c>
      <c r="AG52" s="281"/>
      <c r="AH52" s="139">
        <f>+W52-AB52</f>
        <v>44802.912329999999</v>
      </c>
      <c r="AI52" s="140">
        <f>+X52-AC52</f>
        <v>29807.611720999997</v>
      </c>
      <c r="AJ52" s="140">
        <f>+Y52-AD52</f>
        <v>0</v>
      </c>
      <c r="AK52" s="140">
        <f>-AE52</f>
        <v>0</v>
      </c>
      <c r="AL52" s="140">
        <f>+Z52-AF52</f>
        <v>74610.524051000015</v>
      </c>
      <c r="AM52" s="80"/>
      <c r="AN52" s="80"/>
      <c r="AO52" s="80"/>
      <c r="AP52" s="80"/>
      <c r="AQ52" s="80"/>
      <c r="AR52" s="80"/>
      <c r="AS52" s="80"/>
    </row>
    <row r="53" spans="1:45" s="58" customFormat="1" ht="25.5" customHeight="1" x14ac:dyDescent="0.2">
      <c r="A53" s="59" t="s">
        <v>42</v>
      </c>
      <c r="B53" s="60" t="s">
        <v>43</v>
      </c>
      <c r="C53" s="61">
        <v>35.043092999999999</v>
      </c>
      <c r="D53" s="61">
        <v>-85.2932019</v>
      </c>
      <c r="E53" s="62" t="s">
        <v>145</v>
      </c>
      <c r="F53" s="61">
        <v>27337</v>
      </c>
      <c r="G53" s="63">
        <v>41247</v>
      </c>
      <c r="H53" s="64" t="s">
        <v>109</v>
      </c>
      <c r="I53" s="65"/>
      <c r="J53" s="61" t="s">
        <v>78</v>
      </c>
      <c r="K53" s="63">
        <v>41262</v>
      </c>
      <c r="L53" s="164" t="s">
        <v>109</v>
      </c>
      <c r="M53" s="65"/>
      <c r="N53" s="66">
        <v>2013</v>
      </c>
      <c r="O53" s="66">
        <v>2024</v>
      </c>
      <c r="P53" s="161"/>
      <c r="Q53" s="68"/>
      <c r="R53" s="69"/>
      <c r="S53" s="65"/>
      <c r="T53" s="70"/>
      <c r="U53" s="223">
        <f>528760+10146</f>
        <v>538906</v>
      </c>
      <c r="V53" s="65"/>
      <c r="W53" s="71">
        <f t="shared" si="46"/>
        <v>12270.88962</v>
      </c>
      <c r="X53" s="71">
        <f t="shared" si="46"/>
        <v>8163.8869939999995</v>
      </c>
      <c r="Y53" s="71">
        <f t="shared" si="46"/>
        <v>6737.941718</v>
      </c>
      <c r="Z53" s="71">
        <f t="shared" si="60"/>
        <v>27172.718331999997</v>
      </c>
      <c r="AA53" s="65"/>
      <c r="AB53" s="72">
        <v>5790.05</v>
      </c>
      <c r="AC53" s="73">
        <f>6374.23*X1/(X1+Y1)</f>
        <v>3492.0877430203955</v>
      </c>
      <c r="AD53" s="73">
        <f>3728.95+126.86+6374.23*Y1/(X1+Y1)</f>
        <v>6737.9522569796027</v>
      </c>
      <c r="AE53" s="73"/>
      <c r="AF53" s="73">
        <f t="shared" si="48"/>
        <v>16020.089999999998</v>
      </c>
      <c r="AG53" s="281"/>
      <c r="AH53" s="74">
        <f t="shared" si="61"/>
        <v>6480.8396199999997</v>
      </c>
      <c r="AI53" s="75">
        <f t="shared" si="61"/>
        <v>4671.799250979604</v>
      </c>
      <c r="AJ53" s="75">
        <f>ROUND(+Y53-AD53,0)</f>
        <v>0</v>
      </c>
      <c r="AK53" s="75">
        <f t="shared" si="62"/>
        <v>0</v>
      </c>
      <c r="AL53" s="75">
        <f t="shared" si="63"/>
        <v>11152.628331999998</v>
      </c>
    </row>
    <row r="54" spans="1:45" s="58" customFormat="1" ht="25.5" customHeight="1" x14ac:dyDescent="0.2">
      <c r="A54" s="59" t="s">
        <v>40</v>
      </c>
      <c r="B54" s="60" t="s">
        <v>41</v>
      </c>
      <c r="C54" s="102"/>
      <c r="D54" s="102"/>
      <c r="E54" s="62" t="s">
        <v>144</v>
      </c>
      <c r="F54" s="61">
        <v>27336</v>
      </c>
      <c r="G54" s="63">
        <v>41247</v>
      </c>
      <c r="H54" s="64" t="s">
        <v>109</v>
      </c>
      <c r="I54" s="65"/>
      <c r="J54" s="61" t="s">
        <v>77</v>
      </c>
      <c r="K54" s="63">
        <v>41262</v>
      </c>
      <c r="L54" s="164" t="s">
        <v>109</v>
      </c>
      <c r="M54" s="65"/>
      <c r="N54" s="66">
        <v>2013</v>
      </c>
      <c r="O54" s="66">
        <v>2024</v>
      </c>
      <c r="P54" s="161"/>
      <c r="Q54" s="68"/>
      <c r="R54" s="69"/>
      <c r="S54" s="65"/>
      <c r="T54" s="70"/>
      <c r="U54" s="223">
        <f>134440+583160+6912</f>
        <v>724512</v>
      </c>
      <c r="V54" s="65"/>
      <c r="W54" s="71">
        <f t="shared" si="46"/>
        <v>16497.13824</v>
      </c>
      <c r="X54" s="71">
        <f t="shared" si="46"/>
        <v>10975.632287999999</v>
      </c>
      <c r="Y54" s="71">
        <f t="shared" si="46"/>
        <v>9058.5735359999999</v>
      </c>
      <c r="Z54" s="71">
        <f t="shared" si="60"/>
        <v>36531.344064000004</v>
      </c>
      <c r="AA54" s="65"/>
      <c r="AB54" s="72">
        <f>593.87+9553.72</f>
        <v>10147.59</v>
      </c>
      <c r="AC54" s="73">
        <f>(653.8+10517.6)*X1/(X1+Y1)</f>
        <v>6120.1916172428755</v>
      </c>
      <c r="AD54" s="73">
        <f>1385.28+2535.66+86.42+(653.8+10517.6)*Y1/(X1+Y1)</f>
        <v>9058.5683827571229</v>
      </c>
      <c r="AE54" s="73"/>
      <c r="AF54" s="73">
        <f t="shared" si="48"/>
        <v>25326.35</v>
      </c>
      <c r="AG54" s="281"/>
      <c r="AH54" s="74">
        <f t="shared" si="61"/>
        <v>6349.5482400000001</v>
      </c>
      <c r="AI54" s="75">
        <f t="shared" si="61"/>
        <v>4855.4406707571234</v>
      </c>
      <c r="AJ54" s="185">
        <f>ROUND(+Y54-AD54,0)</f>
        <v>0</v>
      </c>
      <c r="AK54" s="75">
        <f t="shared" si="62"/>
        <v>0</v>
      </c>
      <c r="AL54" s="75">
        <f t="shared" si="63"/>
        <v>11204.994064000006</v>
      </c>
    </row>
    <row r="55" spans="1:45" s="58" customFormat="1" ht="26.25" customHeight="1" x14ac:dyDescent="0.2">
      <c r="A55" s="59" t="s">
        <v>44</v>
      </c>
      <c r="B55" s="60" t="s">
        <v>45</v>
      </c>
      <c r="C55" s="61">
        <v>35.054606679999999</v>
      </c>
      <c r="D55" s="61">
        <v>-85.307281329999995</v>
      </c>
      <c r="E55" s="62" t="s">
        <v>157</v>
      </c>
      <c r="F55" s="61">
        <v>23253</v>
      </c>
      <c r="G55" s="63">
        <v>40513</v>
      </c>
      <c r="H55" s="64" t="s">
        <v>109</v>
      </c>
      <c r="I55" s="65"/>
      <c r="J55" s="61" t="s">
        <v>65</v>
      </c>
      <c r="K55" s="63">
        <v>37349</v>
      </c>
      <c r="L55" s="164" t="s">
        <v>109</v>
      </c>
      <c r="M55" s="65"/>
      <c r="N55" s="66">
        <v>2012</v>
      </c>
      <c r="O55" s="66">
        <v>2025</v>
      </c>
      <c r="P55" s="161"/>
      <c r="Q55" s="68"/>
      <c r="R55" s="69"/>
      <c r="S55" s="65"/>
      <c r="T55" s="70"/>
      <c r="U55" s="223">
        <v>4912920</v>
      </c>
      <c r="V55" s="65"/>
      <c r="W55" s="71">
        <f t="shared" si="46"/>
        <v>111867.1884</v>
      </c>
      <c r="X55" s="71">
        <f t="shared" si="46"/>
        <v>74425.825079999995</v>
      </c>
      <c r="Y55" s="71">
        <f t="shared" si="46"/>
        <v>61426.23876</v>
      </c>
      <c r="Z55" s="71">
        <f t="shared" si="60"/>
        <v>247719.25224</v>
      </c>
      <c r="AA55" s="65"/>
      <c r="AB55" s="72">
        <v>0</v>
      </c>
      <c r="AC55" s="73">
        <v>0</v>
      </c>
      <c r="AD55" s="73">
        <v>0</v>
      </c>
      <c r="AE55" s="73"/>
      <c r="AF55" s="73">
        <f t="shared" si="48"/>
        <v>0</v>
      </c>
      <c r="AG55" s="281"/>
      <c r="AH55" s="74">
        <f t="shared" si="61"/>
        <v>111867.1884</v>
      </c>
      <c r="AI55" s="75">
        <f t="shared" si="61"/>
        <v>74425.825079999995</v>
      </c>
      <c r="AJ55" s="75">
        <f t="shared" si="61"/>
        <v>61426.23876</v>
      </c>
      <c r="AK55" s="75">
        <f t="shared" si="62"/>
        <v>0</v>
      </c>
      <c r="AL55" s="75">
        <f t="shared" si="63"/>
        <v>247719.25224</v>
      </c>
    </row>
    <row r="56" spans="1:45" s="58" customFormat="1" ht="26.25" customHeight="1" x14ac:dyDescent="0.2">
      <c r="A56" s="114" t="s">
        <v>165</v>
      </c>
      <c r="B56" s="60"/>
      <c r="C56" s="61"/>
      <c r="D56" s="61"/>
      <c r="E56" s="62"/>
      <c r="F56" s="61"/>
      <c r="G56" s="63"/>
      <c r="H56" s="64"/>
      <c r="I56" s="65"/>
      <c r="J56" s="61"/>
      <c r="K56" s="63"/>
      <c r="L56" s="164"/>
      <c r="M56" s="65"/>
      <c r="N56" s="66"/>
      <c r="O56" s="66"/>
      <c r="P56" s="161"/>
      <c r="Q56" s="68"/>
      <c r="R56" s="69"/>
      <c r="S56" s="65"/>
      <c r="T56" s="70"/>
      <c r="U56" s="223"/>
      <c r="V56" s="65"/>
      <c r="W56" s="71"/>
      <c r="X56" s="71"/>
      <c r="Y56" s="71"/>
      <c r="Z56" s="71"/>
      <c r="AA56" s="65"/>
      <c r="AB56" s="72"/>
      <c r="AC56" s="73"/>
      <c r="AD56" s="73"/>
      <c r="AE56" s="73"/>
      <c r="AF56" s="73"/>
      <c r="AG56" s="281"/>
      <c r="AH56" s="74"/>
      <c r="AI56" s="75"/>
      <c r="AJ56" s="75"/>
      <c r="AK56" s="75"/>
      <c r="AL56" s="75"/>
    </row>
    <row r="57" spans="1:45" s="58" customFormat="1" ht="36" x14ac:dyDescent="0.2">
      <c r="A57" s="268" t="s">
        <v>219</v>
      </c>
      <c r="B57" s="151" t="s">
        <v>162</v>
      </c>
      <c r="C57" s="263"/>
      <c r="D57" s="263"/>
      <c r="E57" s="156" t="s">
        <v>221</v>
      </c>
      <c r="F57" s="61">
        <v>28835</v>
      </c>
      <c r="G57" s="63">
        <v>42682</v>
      </c>
      <c r="H57" s="107" t="s">
        <v>109</v>
      </c>
      <c r="I57" s="65"/>
      <c r="J57" s="66" t="s">
        <v>161</v>
      </c>
      <c r="K57" s="165">
        <v>42711</v>
      </c>
      <c r="L57" s="166" t="s">
        <v>109</v>
      </c>
      <c r="M57" s="65"/>
      <c r="N57" s="66">
        <v>2018</v>
      </c>
      <c r="O57" s="66">
        <v>2058</v>
      </c>
      <c r="P57" s="161"/>
      <c r="Q57" s="68"/>
      <c r="R57" s="163" t="s">
        <v>166</v>
      </c>
      <c r="S57" s="65"/>
      <c r="T57" s="70"/>
      <c r="U57" s="223">
        <v>3387100</v>
      </c>
      <c r="V57" s="65"/>
      <c r="W57" s="258">
        <f t="shared" si="46"/>
        <v>77124.267000000007</v>
      </c>
      <c r="X57" s="258">
        <f t="shared" si="46"/>
        <v>51311.177900000002</v>
      </c>
      <c r="Y57" s="258">
        <f t="shared" si="46"/>
        <v>42348.9113</v>
      </c>
      <c r="Z57" s="258">
        <f t="shared" ref="Z57" si="70">+W57+X57+Y57</f>
        <v>170784.35620000001</v>
      </c>
      <c r="AA57" s="65"/>
      <c r="AB57" s="72"/>
      <c r="AC57" s="73"/>
      <c r="AD57" s="73">
        <v>51000</v>
      </c>
      <c r="AE57" s="73"/>
      <c r="AF57" s="266">
        <f t="shared" si="48"/>
        <v>51000</v>
      </c>
      <c r="AG57" s="281"/>
      <c r="AH57" s="267">
        <f t="shared" ref="AH57" si="71">+W57-AB57</f>
        <v>77124.267000000007</v>
      </c>
      <c r="AI57" s="265">
        <f t="shared" ref="AI57" si="72">+X57-AC57</f>
        <v>51311.177900000002</v>
      </c>
      <c r="AJ57" s="265">
        <f t="shared" ref="AJ57" si="73">+Y57-AD57</f>
        <v>-8651.0887000000002</v>
      </c>
      <c r="AK57" s="265">
        <f t="shared" ref="AK57" si="74">-AE57</f>
        <v>0</v>
      </c>
      <c r="AL57" s="265">
        <f t="shared" ref="AL57" si="75">+Z57-AF57</f>
        <v>119784.35620000001</v>
      </c>
    </row>
    <row r="58" spans="1:45" s="58" customFormat="1" ht="4.5" customHeight="1" x14ac:dyDescent="0.2">
      <c r="A58" s="79"/>
      <c r="B58" s="80"/>
      <c r="C58" s="81"/>
      <c r="D58" s="81"/>
      <c r="E58" s="82"/>
      <c r="F58" s="81"/>
      <c r="G58" s="83"/>
      <c r="H58" s="84"/>
      <c r="I58" s="85"/>
      <c r="J58" s="81"/>
      <c r="K58" s="83"/>
      <c r="L58" s="88"/>
      <c r="M58" s="85"/>
      <c r="N58" s="167"/>
      <c r="O58" s="167"/>
      <c r="P58" s="168"/>
      <c r="Q58" s="91"/>
      <c r="R58" s="169"/>
      <c r="S58" s="85"/>
      <c r="T58" s="170"/>
      <c r="U58" s="85"/>
      <c r="V58" s="85"/>
      <c r="W58" s="94"/>
      <c r="X58" s="94"/>
      <c r="Y58" s="94"/>
      <c r="Z58" s="94"/>
      <c r="AA58" s="85"/>
      <c r="AB58" s="96"/>
      <c r="AC58" s="171"/>
      <c r="AD58" s="171"/>
      <c r="AE58" s="171"/>
      <c r="AF58" s="171"/>
      <c r="AG58" s="85"/>
      <c r="AH58" s="97"/>
      <c r="AI58" s="172"/>
      <c r="AJ58" s="172"/>
      <c r="AK58" s="172"/>
      <c r="AL58" s="172"/>
    </row>
    <row r="59" spans="1:45" ht="25.5" customHeight="1" thickBot="1" x14ac:dyDescent="0.25">
      <c r="A59" s="242" t="s">
        <v>213</v>
      </c>
      <c r="B59" s="39"/>
      <c r="C59" s="39"/>
      <c r="D59" s="39"/>
      <c r="E59" s="39"/>
      <c r="F59" s="39"/>
      <c r="G59" s="39"/>
      <c r="H59" s="39"/>
      <c r="I59" s="39"/>
      <c r="J59" s="39"/>
      <c r="K59" s="39"/>
      <c r="L59" s="39"/>
      <c r="R59" s="31"/>
      <c r="W59" s="26">
        <f>SUM(W5:W57)</f>
        <v>18063552.560054008</v>
      </c>
      <c r="X59" s="26">
        <f>SUM(X5:X57)</f>
        <v>11735628.334982997</v>
      </c>
      <c r="Y59" s="26">
        <f>SUM(Y5:Y57)</f>
        <v>9685824.0749159995</v>
      </c>
      <c r="Z59" s="26">
        <f>SUM(Z5:Z57)</f>
        <v>39485004.969952993</v>
      </c>
      <c r="AB59" s="25">
        <f>SUM(AB5:AB57)</f>
        <v>3001288.0947285001</v>
      </c>
      <c r="AC59" s="25">
        <f>SUM(AC5:AC57)</f>
        <v>1590666.8529503937</v>
      </c>
      <c r="AD59" s="25">
        <f>SUM(AD5:AD57)</f>
        <v>8275165.3177088462</v>
      </c>
      <c r="AE59" s="25">
        <f>SUM(AE5:AE57)</f>
        <v>878893.28257871442</v>
      </c>
      <c r="AF59" s="25">
        <f>SUM(AF5:AF57)</f>
        <v>13746013.547966456</v>
      </c>
      <c r="AH59" s="23">
        <f>SUM(AH5:AH57)</f>
        <v>15062264.465325503</v>
      </c>
      <c r="AI59" s="23">
        <f>SUM(AI5:AI57)</f>
        <v>10144961.482032599</v>
      </c>
      <c r="AJ59" s="23">
        <f>SUM(AJ5:AJ57)</f>
        <v>1410658.7625928915</v>
      </c>
      <c r="AK59" s="23">
        <f>SUM(AK5:AK57)</f>
        <v>-878893.28257871442</v>
      </c>
      <c r="AL59" s="23">
        <f>SUM(AL5:AL57)</f>
        <v>25738991.421986543</v>
      </c>
      <c r="AM59" s="3"/>
      <c r="AN59" s="3">
        <f t="shared" ref="AN59" si="76">+X59-AC59-AI59</f>
        <v>0</v>
      </c>
      <c r="AO59" s="3"/>
      <c r="AP59" s="3"/>
    </row>
    <row r="60" spans="1:45" ht="30.6" customHeight="1" thickTop="1" x14ac:dyDescent="0.2">
      <c r="M60" s="38"/>
      <c r="N60" s="37"/>
      <c r="O60" s="37"/>
      <c r="R60" s="31"/>
    </row>
    <row r="61" spans="1:45" ht="30.6" customHeight="1" x14ac:dyDescent="0.2">
      <c r="A61" s="303"/>
      <c r="B61" s="304"/>
      <c r="C61" s="304"/>
      <c r="D61" s="304"/>
      <c r="E61" s="304"/>
      <c r="F61" s="304"/>
      <c r="G61" s="304"/>
      <c r="H61" s="304"/>
      <c r="I61" s="304"/>
      <c r="J61" s="304"/>
      <c r="K61" s="304"/>
      <c r="L61" s="304"/>
      <c r="M61" s="38"/>
      <c r="N61" s="37"/>
      <c r="O61" s="37"/>
      <c r="R61" s="31"/>
      <c r="AB61" s="360"/>
      <c r="AC61" s="360"/>
      <c r="AD61" s="360"/>
      <c r="AE61" s="360"/>
      <c r="AF61" s="360"/>
    </row>
    <row r="62" spans="1:45" ht="15" customHeight="1" x14ac:dyDescent="0.2">
      <c r="R62" s="31"/>
    </row>
    <row r="63" spans="1:45" customFormat="1" ht="15" customHeight="1" thickBot="1" x14ac:dyDescent="0.25">
      <c r="A63" s="22"/>
      <c r="E63" s="15"/>
      <c r="F63" s="317" t="s">
        <v>58</v>
      </c>
      <c r="G63" s="317"/>
      <c r="H63" s="317"/>
      <c r="I63" s="36"/>
      <c r="J63" s="317" t="s">
        <v>59</v>
      </c>
      <c r="K63" s="317"/>
      <c r="L63" s="317"/>
      <c r="M63" s="36"/>
      <c r="N63" s="22"/>
      <c r="O63" s="22"/>
      <c r="Q63" s="32"/>
      <c r="R63" s="27"/>
      <c r="S63" s="1"/>
      <c r="T63" s="1"/>
      <c r="U63" s="34"/>
      <c r="V63" s="5"/>
      <c r="W63" s="214" t="s">
        <v>191</v>
      </c>
      <c r="X63" s="7"/>
      <c r="Y63" s="7"/>
      <c r="Z63" s="7"/>
      <c r="AA63" s="5"/>
      <c r="AB63" s="318" t="s">
        <v>193</v>
      </c>
      <c r="AC63" s="319"/>
      <c r="AD63" s="319"/>
      <c r="AE63" s="319"/>
      <c r="AF63" s="320"/>
      <c r="AG63" s="5"/>
      <c r="AH63" s="321" t="s">
        <v>192</v>
      </c>
      <c r="AI63" s="322"/>
      <c r="AJ63" s="322"/>
      <c r="AK63" s="322"/>
      <c r="AL63" s="323"/>
    </row>
    <row r="64" spans="1:45" s="15" customFormat="1" ht="24" customHeight="1" x14ac:dyDescent="0.2">
      <c r="A64" s="16" t="s">
        <v>0</v>
      </c>
      <c r="B64" s="8" t="s">
        <v>3</v>
      </c>
      <c r="C64" s="24" t="s">
        <v>8</v>
      </c>
      <c r="D64" s="24" t="s">
        <v>9</v>
      </c>
      <c r="E64" s="8" t="s">
        <v>86</v>
      </c>
      <c r="F64" s="8" t="s">
        <v>76</v>
      </c>
      <c r="G64" s="14" t="s">
        <v>5</v>
      </c>
      <c r="H64" s="14" t="s">
        <v>108</v>
      </c>
      <c r="I64" s="12"/>
      <c r="J64" s="8" t="s">
        <v>76</v>
      </c>
      <c r="K64" s="14" t="s">
        <v>5</v>
      </c>
      <c r="L64" s="14" t="s">
        <v>108</v>
      </c>
      <c r="M64" s="12"/>
      <c r="N64" s="16" t="s">
        <v>6</v>
      </c>
      <c r="O64" s="16" t="s">
        <v>7</v>
      </c>
      <c r="P64" s="16" t="s">
        <v>1</v>
      </c>
      <c r="Q64" s="30" t="s">
        <v>2</v>
      </c>
      <c r="R64" s="16" t="s">
        <v>124</v>
      </c>
      <c r="S64" s="12" t="s">
        <v>164</v>
      </c>
      <c r="T64" s="9" t="s">
        <v>4</v>
      </c>
      <c r="U64" s="12" t="s">
        <v>190</v>
      </c>
      <c r="V64" s="12"/>
      <c r="W64" s="11" t="s">
        <v>48</v>
      </c>
      <c r="X64" s="11" t="s">
        <v>49</v>
      </c>
      <c r="Y64" s="11" t="s">
        <v>50</v>
      </c>
      <c r="Z64" s="10" t="s">
        <v>52</v>
      </c>
      <c r="AA64" s="12"/>
      <c r="AB64" s="21" t="s">
        <v>210</v>
      </c>
      <c r="AC64" s="21" t="s">
        <v>211</v>
      </c>
      <c r="AD64" s="21" t="s">
        <v>212</v>
      </c>
      <c r="AE64" s="21" t="s">
        <v>232</v>
      </c>
      <c r="AF64" s="21" t="s">
        <v>194</v>
      </c>
      <c r="AG64" s="12"/>
      <c r="AH64" s="13" t="s">
        <v>54</v>
      </c>
      <c r="AI64" s="13" t="s">
        <v>55</v>
      </c>
      <c r="AJ64" s="13" t="s">
        <v>56</v>
      </c>
      <c r="AK64" s="13" t="s">
        <v>232</v>
      </c>
      <c r="AL64" s="13" t="s">
        <v>57</v>
      </c>
    </row>
    <row r="65" spans="1:42" ht="15" customHeight="1" x14ac:dyDescent="0.2">
      <c r="R65" s="31"/>
    </row>
    <row r="66" spans="1:42" ht="28.5" customHeight="1" x14ac:dyDescent="0.2">
      <c r="A66" s="114" t="s">
        <v>186</v>
      </c>
      <c r="R66" s="31"/>
    </row>
    <row r="67" spans="1:42" s="58" customFormat="1" ht="25.5" customHeight="1" x14ac:dyDescent="0.2">
      <c r="A67" s="212" t="s">
        <v>187</v>
      </c>
      <c r="B67" s="208"/>
      <c r="C67" s="102"/>
      <c r="D67" s="102"/>
      <c r="E67" s="209"/>
      <c r="F67" s="210">
        <v>27143</v>
      </c>
      <c r="G67" s="211">
        <v>41079</v>
      </c>
      <c r="H67" s="215" t="s">
        <v>109</v>
      </c>
      <c r="I67" s="205"/>
      <c r="J67" s="210" t="s">
        <v>195</v>
      </c>
      <c r="K67" s="211">
        <v>41066</v>
      </c>
      <c r="L67" s="162" t="s">
        <v>109</v>
      </c>
      <c r="M67" s="205"/>
      <c r="N67" s="202">
        <v>2013</v>
      </c>
      <c r="O67" s="202">
        <v>2032</v>
      </c>
      <c r="P67" s="203" t="s">
        <v>10</v>
      </c>
      <c r="Q67" s="203" t="s">
        <v>10</v>
      </c>
      <c r="R67" s="69" t="s">
        <v>189</v>
      </c>
      <c r="S67" s="203">
        <v>500000000</v>
      </c>
      <c r="T67" s="204"/>
      <c r="U67" s="205">
        <v>12607862</v>
      </c>
      <c r="V67" s="205"/>
      <c r="W67" s="206">
        <f t="shared" ref="W67:Y68" si="77">+$U67*W$1/100</f>
        <v>287081.01773999998</v>
      </c>
      <c r="X67" s="206">
        <f t="shared" si="77"/>
        <v>190996.50143799998</v>
      </c>
      <c r="Y67" s="206">
        <f t="shared" si="77"/>
        <v>157636.09858600001</v>
      </c>
      <c r="Z67" s="206">
        <f t="shared" ref="Z67" si="78">+W67+X67+Y67</f>
        <v>635713.61776399997</v>
      </c>
      <c r="AA67" s="205"/>
      <c r="AB67" s="311">
        <f>ROUND(+(685500*0.02309)+(U67-685500)*0.003443,0)</f>
        <v>56877</v>
      </c>
      <c r="AC67" s="207">
        <f>ROUND(+(685500*(0.013926-0.004075))+(U67-685500)*0.005083,0)</f>
        <v>67354</v>
      </c>
      <c r="AD67" s="305">
        <f>+U67*$Y$1/100</f>
        <v>157636.09858600001</v>
      </c>
      <c r="AE67" s="207">
        <f>ROUND((AH67+AI67+AJ67)*0.05,0)</f>
        <v>17692</v>
      </c>
      <c r="AF67" s="207">
        <f>SUM(AB67:AE67)</f>
        <v>299559.09858600004</v>
      </c>
      <c r="AG67" s="281"/>
      <c r="AH67" s="302">
        <f t="shared" ref="AH67" si="79">+W67-AB67</f>
        <v>230204.01773999998</v>
      </c>
      <c r="AI67" s="300">
        <f t="shared" ref="AI67" si="80">+X67-AC67</f>
        <v>123642.50143799998</v>
      </c>
      <c r="AJ67" s="300">
        <f t="shared" ref="AJ67" si="81">+Y67-AD67</f>
        <v>0</v>
      </c>
      <c r="AK67" s="300">
        <f t="shared" ref="AK67" si="82">-AE67</f>
        <v>-17692</v>
      </c>
      <c r="AL67" s="300">
        <f t="shared" ref="AL67" si="83">+Z67-AF67</f>
        <v>336154.51917799993</v>
      </c>
    </row>
    <row r="68" spans="1:42" s="58" customFormat="1" ht="25.5" customHeight="1" x14ac:dyDescent="0.2">
      <c r="A68" s="212" t="s">
        <v>188</v>
      </c>
      <c r="B68" s="208"/>
      <c r="C68" s="102"/>
      <c r="D68" s="102"/>
      <c r="E68" s="209"/>
      <c r="F68" s="210">
        <v>29336</v>
      </c>
      <c r="G68" s="211">
        <v>43151</v>
      </c>
      <c r="H68" s="213" t="s">
        <v>109</v>
      </c>
      <c r="I68" s="205"/>
      <c r="J68" s="210" t="s">
        <v>196</v>
      </c>
      <c r="K68" s="211">
        <v>43166</v>
      </c>
      <c r="L68" s="162" t="s">
        <v>109</v>
      </c>
      <c r="M68" s="205"/>
      <c r="N68" s="202">
        <v>2018</v>
      </c>
      <c r="O68" s="202">
        <v>2032</v>
      </c>
      <c r="P68" s="232">
        <v>92</v>
      </c>
      <c r="Q68" s="203" t="s">
        <v>10</v>
      </c>
      <c r="R68" s="69"/>
      <c r="S68" s="203" t="s">
        <v>10</v>
      </c>
      <c r="T68" s="204"/>
      <c r="U68" s="205">
        <v>4629490</v>
      </c>
      <c r="V68" s="205"/>
      <c r="W68" s="299">
        <f t="shared" si="77"/>
        <v>105413.48730000001</v>
      </c>
      <c r="X68" s="299">
        <f t="shared" si="77"/>
        <v>70132.144009999989</v>
      </c>
      <c r="Y68" s="299">
        <f t="shared" si="77"/>
        <v>57882.513469999998</v>
      </c>
      <c r="Z68" s="299">
        <f t="shared" ref="Z68" si="84">+W68+X68+Y68</f>
        <v>233428.14478</v>
      </c>
      <c r="AA68" s="205"/>
      <c r="AB68" s="311">
        <f>ROUND(+(2131890*0.02277)+(U68-2131890)*0.003443,0)</f>
        <v>57142</v>
      </c>
      <c r="AC68" s="301">
        <f>ROUND(+(2131890*0.015149)+(U68-2131890)*0.005083,0)</f>
        <v>44991</v>
      </c>
      <c r="AD68" s="305">
        <f>+U68*$Y$1/100</f>
        <v>57882.513469999998</v>
      </c>
      <c r="AE68" s="301">
        <f>ROUND((AH68+AI68+AJ68)*0.05,0)</f>
        <v>3671</v>
      </c>
      <c r="AF68" s="301">
        <f>SUM(AB68:AE68)</f>
        <v>163686.51347000001</v>
      </c>
      <c r="AG68" s="281"/>
      <c r="AH68" s="302">
        <f t="shared" ref="AH68" si="85">+W68-AB68</f>
        <v>48271.487300000008</v>
      </c>
      <c r="AI68" s="300">
        <f t="shared" ref="AI68" si="86">+X68-AC68</f>
        <v>25141.144009999989</v>
      </c>
      <c r="AJ68" s="300">
        <f t="shared" ref="AJ68" si="87">+Y68-AD68</f>
        <v>0</v>
      </c>
      <c r="AK68" s="300">
        <f t="shared" ref="AK68" si="88">-AE68</f>
        <v>-3671</v>
      </c>
      <c r="AL68" s="300">
        <f t="shared" ref="AL68" si="89">+Z68-AF68</f>
        <v>69741.631309999997</v>
      </c>
    </row>
    <row r="69" spans="1:42" s="58" customFormat="1" ht="4.5" customHeight="1" x14ac:dyDescent="0.2">
      <c r="A69" s="79"/>
      <c r="B69" s="80"/>
      <c r="C69" s="81"/>
      <c r="D69" s="81"/>
      <c r="E69" s="82"/>
      <c r="F69" s="81"/>
      <c r="G69" s="83"/>
      <c r="H69" s="84"/>
      <c r="I69" s="85"/>
      <c r="J69" s="81"/>
      <c r="K69" s="83"/>
      <c r="L69" s="88"/>
      <c r="M69" s="85"/>
      <c r="N69" s="167"/>
      <c r="O69" s="167"/>
      <c r="P69" s="168"/>
      <c r="Q69" s="91"/>
      <c r="R69" s="169"/>
      <c r="S69" s="85"/>
      <c r="T69" s="170"/>
      <c r="U69" s="85"/>
      <c r="V69" s="85"/>
      <c r="W69" s="94"/>
      <c r="X69" s="94"/>
      <c r="Y69" s="94"/>
      <c r="Z69" s="94"/>
      <c r="AA69" s="85"/>
      <c r="AB69" s="96"/>
      <c r="AC69" s="171"/>
      <c r="AD69" s="171"/>
      <c r="AE69" s="171"/>
      <c r="AF69" s="171"/>
      <c r="AG69" s="85"/>
      <c r="AH69" s="97"/>
      <c r="AI69" s="172"/>
      <c r="AJ69" s="172"/>
      <c r="AK69" s="172"/>
      <c r="AL69" s="172"/>
    </row>
    <row r="70" spans="1:42" ht="25.5" customHeight="1" thickBot="1" x14ac:dyDescent="0.25">
      <c r="R70" s="31"/>
      <c r="W70" s="26">
        <f>SUM(W67:W69)</f>
        <v>392494.50503999996</v>
      </c>
      <c r="X70" s="26">
        <f t="shared" ref="X70:Z70" si="90">SUM(X67:X69)</f>
        <v>261128.64544799997</v>
      </c>
      <c r="Y70" s="26">
        <f t="shared" si="90"/>
        <v>215518.61205600001</v>
      </c>
      <c r="Z70" s="26">
        <f t="shared" si="90"/>
        <v>869141.76254399994</v>
      </c>
      <c r="AB70" s="25">
        <f>SUM(AB67:AB68)</f>
        <v>114019</v>
      </c>
      <c r="AC70" s="25">
        <f t="shared" ref="AC70:AF70" si="91">SUM(AC67:AC68)</f>
        <v>112345</v>
      </c>
      <c r="AD70" s="25">
        <f t="shared" si="91"/>
        <v>215518.61205600001</v>
      </c>
      <c r="AE70" s="25">
        <f t="shared" si="91"/>
        <v>21363</v>
      </c>
      <c r="AF70" s="25">
        <f t="shared" si="91"/>
        <v>463245.61205600004</v>
      </c>
      <c r="AH70" s="23">
        <f>SUM(AH67:AH69)</f>
        <v>278475.50503999996</v>
      </c>
      <c r="AI70" s="23">
        <f t="shared" ref="AI70:AL70" si="92">SUM(AI67:AI69)</f>
        <v>148783.64544799997</v>
      </c>
      <c r="AJ70" s="23">
        <f t="shared" si="92"/>
        <v>0</v>
      </c>
      <c r="AK70" s="23">
        <f t="shared" si="92"/>
        <v>-21363</v>
      </c>
      <c r="AL70" s="23">
        <f t="shared" si="92"/>
        <v>405896.1504879999</v>
      </c>
      <c r="AM70" s="3"/>
      <c r="AN70" s="3">
        <f t="shared" ref="AN70" si="93">+X70-AC70-AI70</f>
        <v>0</v>
      </c>
      <c r="AO70" s="3"/>
      <c r="AP70" s="3"/>
    </row>
    <row r="71" spans="1:42" ht="15" customHeight="1" thickTop="1" x14ac:dyDescent="0.2">
      <c r="R71" s="31"/>
    </row>
    <row r="72" spans="1:42" ht="15" customHeight="1" x14ac:dyDescent="0.2">
      <c r="R72" s="31"/>
    </row>
    <row r="73" spans="1:42" ht="15" customHeight="1" x14ac:dyDescent="0.2">
      <c r="R73" s="31"/>
    </row>
    <row r="74" spans="1:42" ht="15" customHeight="1" x14ac:dyDescent="0.2">
      <c r="R74" s="31"/>
    </row>
    <row r="75" spans="1:42" ht="15" customHeight="1" x14ac:dyDescent="0.2">
      <c r="R75" s="31"/>
    </row>
    <row r="76" spans="1:42" ht="15" customHeight="1" x14ac:dyDescent="0.2">
      <c r="R76" s="31"/>
    </row>
    <row r="77" spans="1:42" ht="15" customHeight="1" x14ac:dyDescent="0.2">
      <c r="R77" s="31"/>
    </row>
    <row r="78" spans="1:42" ht="15" customHeight="1" x14ac:dyDescent="0.2">
      <c r="R78" s="31"/>
    </row>
    <row r="79" spans="1:42" ht="15" customHeight="1" x14ac:dyDescent="0.2">
      <c r="R79" s="31"/>
    </row>
    <row r="80" spans="1:42" ht="15" customHeight="1" x14ac:dyDescent="0.2">
      <c r="R80" s="31"/>
    </row>
    <row r="81" spans="18:18" ht="15" customHeight="1" x14ac:dyDescent="0.2">
      <c r="R81" s="31"/>
    </row>
    <row r="82" spans="18:18" ht="15" customHeight="1" x14ac:dyDescent="0.2">
      <c r="R82" s="31"/>
    </row>
    <row r="83" spans="18:18" ht="15" customHeight="1" x14ac:dyDescent="0.2">
      <c r="R83" s="31"/>
    </row>
    <row r="84" spans="18:18" ht="15" customHeight="1" x14ac:dyDescent="0.2">
      <c r="R84" s="31"/>
    </row>
    <row r="85" spans="18:18" ht="15" customHeight="1" x14ac:dyDescent="0.2">
      <c r="R85" s="31"/>
    </row>
    <row r="86" spans="18:18" ht="15" customHeight="1" x14ac:dyDescent="0.2">
      <c r="R86" s="31"/>
    </row>
    <row r="87" spans="18:18" ht="15" customHeight="1" x14ac:dyDescent="0.2">
      <c r="R87" s="31"/>
    </row>
    <row r="88" spans="18:18" ht="15" customHeight="1" x14ac:dyDescent="0.2">
      <c r="R88" s="31"/>
    </row>
    <row r="89" spans="18:18" ht="15" customHeight="1" x14ac:dyDescent="0.2">
      <c r="R89" s="31"/>
    </row>
    <row r="90" spans="18:18" ht="15" customHeight="1" x14ac:dyDescent="0.2">
      <c r="R90" s="31"/>
    </row>
    <row r="91" spans="18:18" ht="15" customHeight="1" x14ac:dyDescent="0.2">
      <c r="R91" s="31"/>
    </row>
    <row r="92" spans="18:18" ht="15" customHeight="1" x14ac:dyDescent="0.2">
      <c r="R92" s="31"/>
    </row>
    <row r="93" spans="18:18" ht="15" customHeight="1" x14ac:dyDescent="0.2">
      <c r="R93" s="31"/>
    </row>
    <row r="94" spans="18:18" ht="15" customHeight="1" x14ac:dyDescent="0.2">
      <c r="R94" s="31"/>
    </row>
    <row r="95" spans="18:18" ht="15" customHeight="1" x14ac:dyDescent="0.2">
      <c r="R95" s="31"/>
    </row>
    <row r="96" spans="18:18" ht="15" customHeight="1" x14ac:dyDescent="0.2">
      <c r="R96" s="31"/>
    </row>
    <row r="97" spans="18:18" ht="15" customHeight="1" x14ac:dyDescent="0.2">
      <c r="R97" s="31"/>
    </row>
    <row r="98" spans="18:18" ht="15" customHeight="1" x14ac:dyDescent="0.2">
      <c r="R98" s="31"/>
    </row>
    <row r="99" spans="18:18" ht="15" customHeight="1" x14ac:dyDescent="0.2">
      <c r="R99" s="31"/>
    </row>
    <row r="100" spans="18:18" ht="15" customHeight="1" x14ac:dyDescent="0.2">
      <c r="R100" s="31"/>
    </row>
    <row r="101" spans="18:18" ht="15" customHeight="1" x14ac:dyDescent="0.2">
      <c r="R101" s="31"/>
    </row>
    <row r="102" spans="18:18" ht="15" customHeight="1" x14ac:dyDescent="0.2">
      <c r="R102" s="31"/>
    </row>
    <row r="103" spans="18:18" ht="15" customHeight="1" x14ac:dyDescent="0.2">
      <c r="R103" s="31"/>
    </row>
    <row r="104" spans="18:18" ht="15" customHeight="1" x14ac:dyDescent="0.2">
      <c r="R104" s="31"/>
    </row>
    <row r="105" spans="18:18" ht="15" customHeight="1" x14ac:dyDescent="0.2">
      <c r="R105" s="31"/>
    </row>
    <row r="106" spans="18:18" ht="15" customHeight="1" x14ac:dyDescent="0.2">
      <c r="R106" s="31"/>
    </row>
    <row r="107" spans="18:18" ht="15" customHeight="1" x14ac:dyDescent="0.2">
      <c r="R107" s="31"/>
    </row>
    <row r="108" spans="18:18" ht="15" customHeight="1" x14ac:dyDescent="0.2">
      <c r="R108" s="31"/>
    </row>
    <row r="109" spans="18:18" ht="15" customHeight="1" x14ac:dyDescent="0.2">
      <c r="R109" s="31"/>
    </row>
    <row r="110" spans="18:18" ht="15" customHeight="1" x14ac:dyDescent="0.2">
      <c r="R110" s="31"/>
    </row>
    <row r="111" spans="18:18" ht="15" customHeight="1" x14ac:dyDescent="0.2">
      <c r="R111" s="31"/>
    </row>
    <row r="112" spans="18:18" ht="15" customHeight="1" x14ac:dyDescent="0.2">
      <c r="R112" s="31"/>
    </row>
    <row r="113" spans="18:18" ht="15" customHeight="1" x14ac:dyDescent="0.2">
      <c r="R113" s="31"/>
    </row>
    <row r="114" spans="18:18" ht="15" customHeight="1" x14ac:dyDescent="0.2">
      <c r="R114" s="31"/>
    </row>
    <row r="115" spans="18:18" ht="15" customHeight="1" x14ac:dyDescent="0.2">
      <c r="R115" s="31"/>
    </row>
    <row r="116" spans="18:18" ht="15" customHeight="1" x14ac:dyDescent="0.2">
      <c r="R116" s="31"/>
    </row>
    <row r="117" spans="18:18" ht="15" customHeight="1" x14ac:dyDescent="0.2">
      <c r="R117" s="31"/>
    </row>
    <row r="118" spans="18:18" ht="15" customHeight="1" x14ac:dyDescent="0.2">
      <c r="R118" s="31"/>
    </row>
    <row r="119" spans="18:18" ht="15" customHeight="1" x14ac:dyDescent="0.2">
      <c r="R119" s="31"/>
    </row>
    <row r="120" spans="18:18" ht="15" customHeight="1" x14ac:dyDescent="0.2">
      <c r="R120" s="31"/>
    </row>
    <row r="121" spans="18:18" ht="15" customHeight="1" x14ac:dyDescent="0.2">
      <c r="R121" s="31"/>
    </row>
    <row r="122" spans="18:18" ht="15" customHeight="1" x14ac:dyDescent="0.2">
      <c r="R122" s="31"/>
    </row>
    <row r="123" spans="18:18" ht="15" customHeight="1" x14ac:dyDescent="0.2">
      <c r="R123" s="31"/>
    </row>
  </sheetData>
  <autoFilter ref="A3:AL57"/>
  <mergeCells count="107">
    <mergeCell ref="AB61:AF61"/>
    <mergeCell ref="AJ29:AJ30"/>
    <mergeCell ref="AK29:AK30"/>
    <mergeCell ref="AL29:AL30"/>
    <mergeCell ref="AD29:AD30"/>
    <mergeCell ref="AE29:AE30"/>
    <mergeCell ref="AF29:AF30"/>
    <mergeCell ref="AH29:AH30"/>
    <mergeCell ref="AI29:AI30"/>
    <mergeCell ref="AL31:AL32"/>
    <mergeCell ref="AH31:AH32"/>
    <mergeCell ref="AI31:AI32"/>
    <mergeCell ref="AJ31:AJ32"/>
    <mergeCell ref="AE31:AE32"/>
    <mergeCell ref="X29:X30"/>
    <mergeCell ref="Y29:Y30"/>
    <mergeCell ref="Z29:Z30"/>
    <mergeCell ref="AB29:AB30"/>
    <mergeCell ref="AC29:AC30"/>
    <mergeCell ref="P29:P30"/>
    <mergeCell ref="Q29:Q30"/>
    <mergeCell ref="S29:S30"/>
    <mergeCell ref="U29:U30"/>
    <mergeCell ref="W29:W30"/>
    <mergeCell ref="A29:A30"/>
    <mergeCell ref="B29:B30"/>
    <mergeCell ref="E29:E30"/>
    <mergeCell ref="N29:N30"/>
    <mergeCell ref="O29:O30"/>
    <mergeCell ref="F63:H63"/>
    <mergeCell ref="J63:L63"/>
    <mergeCell ref="AB63:AF63"/>
    <mergeCell ref="AH63:AL63"/>
    <mergeCell ref="H31:H32"/>
    <mergeCell ref="N31:N32"/>
    <mergeCell ref="O31:O32"/>
    <mergeCell ref="P31:P32"/>
    <mergeCell ref="Q31:Q32"/>
    <mergeCell ref="S31:S32"/>
    <mergeCell ref="U31:U32"/>
    <mergeCell ref="W31:W32"/>
    <mergeCell ref="X31:X32"/>
    <mergeCell ref="Y31:Y32"/>
    <mergeCell ref="Z31:Z32"/>
    <mergeCell ref="AB31:AB32"/>
    <mergeCell ref="AC31:AC32"/>
    <mergeCell ref="AD31:AD32"/>
    <mergeCell ref="AF31:AF32"/>
    <mergeCell ref="A27:A28"/>
    <mergeCell ref="N27:N28"/>
    <mergeCell ref="O27:O28"/>
    <mergeCell ref="P27:P28"/>
    <mergeCell ref="Q27:Q28"/>
    <mergeCell ref="B27:B28"/>
    <mergeCell ref="E27:E28"/>
    <mergeCell ref="S27:S28"/>
    <mergeCell ref="W27:W28"/>
    <mergeCell ref="X27:X28"/>
    <mergeCell ref="Y27:Y28"/>
    <mergeCell ref="Z27:Z28"/>
    <mergeCell ref="U27:U28"/>
    <mergeCell ref="AL27:AL28"/>
    <mergeCell ref="AB27:AB28"/>
    <mergeCell ref="AC27:AC28"/>
    <mergeCell ref="AD27:AD28"/>
    <mergeCell ref="AE27:AE28"/>
    <mergeCell ref="AF27:AF28"/>
    <mergeCell ref="AH27:AH28"/>
    <mergeCell ref="AI27:AI28"/>
    <mergeCell ref="AJ27:AJ28"/>
    <mergeCell ref="AK27:AK28"/>
    <mergeCell ref="AK25:AK26"/>
    <mergeCell ref="AL25:AL26"/>
    <mergeCell ref="B25:B26"/>
    <mergeCell ref="E25:E26"/>
    <mergeCell ref="F25:F26"/>
    <mergeCell ref="G25:G26"/>
    <mergeCell ref="H25:H26"/>
    <mergeCell ref="AC25:AC26"/>
    <mergeCell ref="AD25:AD26"/>
    <mergeCell ref="AE25:AE26"/>
    <mergeCell ref="AF25:AF26"/>
    <mergeCell ref="AH25:AH26"/>
    <mergeCell ref="A31:A32"/>
    <mergeCell ref="B31:B32"/>
    <mergeCell ref="E31:E32"/>
    <mergeCell ref="F31:F32"/>
    <mergeCell ref="G31:G32"/>
    <mergeCell ref="F2:H2"/>
    <mergeCell ref="J2:L2"/>
    <mergeCell ref="AB2:AF2"/>
    <mergeCell ref="AH2:AL2"/>
    <mergeCell ref="A25:A26"/>
    <mergeCell ref="N25:N26"/>
    <mergeCell ref="O25:O26"/>
    <mergeCell ref="P25:P26"/>
    <mergeCell ref="Q25:Q26"/>
    <mergeCell ref="S25:S26"/>
    <mergeCell ref="U25:U26"/>
    <mergeCell ref="W25:W26"/>
    <mergeCell ref="X25:X26"/>
    <mergeCell ref="Y25:Y26"/>
    <mergeCell ref="Z25:Z26"/>
    <mergeCell ref="AB25:AB26"/>
    <mergeCell ref="AK31:AK32"/>
    <mergeCell ref="AI25:AI26"/>
    <mergeCell ref="AJ25:AJ26"/>
  </mergeCells>
  <hyperlinks>
    <hyperlink ref="H24" r:id="rId1"/>
    <hyperlink ref="H8" r:id="rId2"/>
    <hyperlink ref="H9" r:id="rId3"/>
    <hyperlink ref="H10" r:id="rId4"/>
    <hyperlink ref="H11" r:id="rId5"/>
    <hyperlink ref="H6" r:id="rId6"/>
    <hyperlink ref="H25" r:id="rId7"/>
    <hyperlink ref="H14" r:id="rId8"/>
    <hyperlink ref="H15" r:id="rId9"/>
    <hyperlink ref="H16" r:id="rId10"/>
    <hyperlink ref="H17" r:id="rId11"/>
    <hyperlink ref="H18" r:id="rId12"/>
    <hyperlink ref="H20" r:id="rId13"/>
    <hyperlink ref="H21" r:id="rId14"/>
    <hyperlink ref="H33" r:id="rId15"/>
    <hyperlink ref="H34" r:id="rId16"/>
    <hyperlink ref="H41" r:id="rId17"/>
    <hyperlink ref="H44" r:id="rId18"/>
    <hyperlink ref="H46" r:id="rId19"/>
    <hyperlink ref="H49" r:id="rId20"/>
    <hyperlink ref="H53" r:id="rId21"/>
    <hyperlink ref="H54" r:id="rId22"/>
    <hyperlink ref="H55" r:id="rId23"/>
    <hyperlink ref="H36" r:id="rId24"/>
    <hyperlink ref="L36" r:id="rId25"/>
    <hyperlink ref="L55" r:id="rId26"/>
    <hyperlink ref="L24" r:id="rId27"/>
    <hyperlink ref="L8" r:id="rId28"/>
    <hyperlink ref="L9" r:id="rId29"/>
    <hyperlink ref="L10" r:id="rId30"/>
    <hyperlink ref="L11" r:id="rId31"/>
    <hyperlink ref="L6" r:id="rId32"/>
    <hyperlink ref="L14" r:id="rId33"/>
    <hyperlink ref="L15" r:id="rId34"/>
    <hyperlink ref="L16" r:id="rId35"/>
    <hyperlink ref="L17" r:id="rId36"/>
    <hyperlink ref="L18" r:id="rId37"/>
    <hyperlink ref="L20" r:id="rId38"/>
    <hyperlink ref="L21" r:id="rId39"/>
    <hyperlink ref="L33" r:id="rId40"/>
    <hyperlink ref="L34" r:id="rId41"/>
    <hyperlink ref="L41" r:id="rId42"/>
    <hyperlink ref="L44" r:id="rId43"/>
    <hyperlink ref="L46" r:id="rId44"/>
    <hyperlink ref="L49" r:id="rId45"/>
    <hyperlink ref="L53" r:id="rId46"/>
    <hyperlink ref="L54" r:id="rId47"/>
    <hyperlink ref="L42" r:id="rId48"/>
    <hyperlink ref="H45" r:id="rId49"/>
    <hyperlink ref="H42" r:id="rId50"/>
    <hyperlink ref="L45" r:id="rId51"/>
    <hyperlink ref="H27" r:id="rId52"/>
    <hyperlink ref="H12" r:id="rId53"/>
    <hyperlink ref="L39" r:id="rId54"/>
    <hyperlink ref="L27" r:id="rId55"/>
    <hyperlink ref="L12" r:id="rId56"/>
    <hyperlink ref="L19" r:id="rId57"/>
    <hyperlink ref="H39" r:id="rId58"/>
    <hyperlink ref="H19" r:id="rId59"/>
    <hyperlink ref="L25" r:id="rId60"/>
    <hyperlink ref="L26" r:id="rId61"/>
    <hyperlink ref="L32" r:id="rId62"/>
    <hyperlink ref="H28" r:id="rId63"/>
    <hyperlink ref="L28" r:id="rId64"/>
    <hyperlink ref="L37" r:id="rId65"/>
    <hyperlink ref="H22" r:id="rId66"/>
    <hyperlink ref="L22" r:id="rId67"/>
    <hyperlink ref="H43" r:id="rId68"/>
    <hyperlink ref="L43" r:id="rId69"/>
    <hyperlink ref="L31" r:id="rId70"/>
    <hyperlink ref="H31:H32" r:id="rId71" display="View"/>
    <hyperlink ref="L5" r:id="rId72"/>
    <hyperlink ref="H5" r:id="rId73"/>
    <hyperlink ref="L50" r:id="rId74"/>
    <hyperlink ref="L57" r:id="rId75"/>
    <hyperlink ref="H57" r:id="rId76"/>
    <hyperlink ref="H50" r:id="rId77"/>
    <hyperlink ref="H7" r:id="rId78"/>
    <hyperlink ref="L7" r:id="rId79"/>
    <hyperlink ref="H13" r:id="rId80"/>
    <hyperlink ref="L13" r:id="rId81"/>
    <hyperlink ref="L52" r:id="rId82"/>
    <hyperlink ref="H52" r:id="rId83"/>
    <hyperlink ref="H51" r:id="rId84"/>
    <hyperlink ref="L51" r:id="rId85"/>
    <hyperlink ref="L67" r:id="rId86"/>
    <hyperlink ref="L68" r:id="rId87"/>
    <hyperlink ref="H68" r:id="rId88"/>
    <hyperlink ref="H67" r:id="rId89"/>
    <hyperlink ref="L40" r:id="rId90"/>
    <hyperlink ref="H40" r:id="rId91"/>
    <hyperlink ref="L48" r:id="rId92"/>
    <hyperlink ref="H48" r:id="rId93"/>
    <hyperlink ref="H29" r:id="rId94"/>
    <hyperlink ref="L29" r:id="rId95"/>
    <hyperlink ref="H47" r:id="rId96"/>
  </hyperlinks>
  <pageMargins left="0.17" right="0.17" top="0.25" bottom="0.25" header="0" footer="0"/>
  <pageSetup paperSize="17" scale="45" fitToHeight="0" orientation="landscape" r:id="rId97"/>
  <ignoredErrors>
    <ignoredError sqref="Y1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19 with notes (tax year 2018</vt:lpstr>
      <vt:lpstr>'FY 19 with notes (tax year 2018'!Print_Area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Brouner, Lee</dc:creator>
  <cp:lastModifiedBy>Cannon, Shelia</cp:lastModifiedBy>
  <cp:lastPrinted>2019-01-28T14:32:44Z</cp:lastPrinted>
  <dcterms:created xsi:type="dcterms:W3CDTF">2015-03-25T18:15:22Z</dcterms:created>
  <dcterms:modified xsi:type="dcterms:W3CDTF">2019-02-19T15:18:52Z</dcterms:modified>
</cp:coreProperties>
</file>