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cdc\finance\OfficeFiles\PILOT Agreements\PILOT Agreements - Annual Spreadsheets\"/>
    </mc:Choice>
  </mc:AlternateContent>
  <bookViews>
    <workbookView xWindow="-15" yWindow="-15" windowWidth="24000" windowHeight="9330"/>
  </bookViews>
  <sheets>
    <sheet name="FY 20 (tax year 2019" sheetId="9" r:id="rId1"/>
  </sheets>
  <definedNames>
    <definedName name="_xlnm._FilterDatabase" localSheetId="0" hidden="1">'FY 20 (tax year 2019'!$A$3:$AL$51</definedName>
    <definedName name="_xlnm.Print_Area" localSheetId="0">'FY 20 (tax year 2019'!$A$1:$AL$65</definedName>
  </definedNames>
  <calcPr calcId="162913"/>
</workbook>
</file>

<file path=xl/calcChain.xml><?xml version="1.0" encoding="utf-8"?>
<calcChain xmlns="http://schemas.openxmlformats.org/spreadsheetml/2006/main">
  <c r="AB62" i="9" l="1"/>
  <c r="AB61" i="9"/>
  <c r="AC62" i="9" l="1"/>
  <c r="W61" i="9"/>
  <c r="AC61" i="9"/>
  <c r="AD63" i="9" l="1"/>
  <c r="Y63" i="9"/>
  <c r="AJ63" i="9" s="1"/>
  <c r="X63" i="9"/>
  <c r="AI63" i="9" s="1"/>
  <c r="W63" i="9"/>
  <c r="Z63" i="9" s="1"/>
  <c r="AK41" i="9"/>
  <c r="AF41" i="9"/>
  <c r="Y41" i="9"/>
  <c r="X41" i="9"/>
  <c r="AI41" i="9" s="1"/>
  <c r="W41" i="9"/>
  <c r="Z41" i="9" s="1"/>
  <c r="AH63" i="9" l="1"/>
  <c r="AE63" i="9" s="1"/>
  <c r="AL41" i="9"/>
  <c r="AJ41" i="9"/>
  <c r="AH41" i="9"/>
  <c r="AK63" i="9" l="1"/>
  <c r="AF63" i="9"/>
  <c r="AL63" i="9" s="1"/>
  <c r="AB19" i="9" l="1"/>
  <c r="AD40" i="9" l="1"/>
  <c r="AC40" i="9"/>
  <c r="AB40" i="9"/>
  <c r="U36" i="9" l="1"/>
  <c r="U11" i="9" l="1"/>
  <c r="AD31" i="9"/>
  <c r="U31" i="9"/>
  <c r="AB28" i="9"/>
  <c r="U28" i="9"/>
  <c r="U17" i="9"/>
  <c r="W17" i="9" s="1"/>
  <c r="AC16" i="9"/>
  <c r="AB16" i="9"/>
  <c r="U16" i="9"/>
  <c r="U46" i="9"/>
  <c r="U47" i="9"/>
  <c r="U48" i="9"/>
  <c r="U45" i="9"/>
  <c r="AD15" i="9"/>
  <c r="U15" i="9"/>
  <c r="U51" i="9"/>
  <c r="AK42" i="9" l="1"/>
  <c r="AF42" i="9"/>
  <c r="U42" i="9"/>
  <c r="W42" i="9" s="1"/>
  <c r="AC12" i="9"/>
  <c r="AB12" i="9"/>
  <c r="U12" i="9"/>
  <c r="AE27" i="9"/>
  <c r="U26" i="9"/>
  <c r="U34" i="9"/>
  <c r="W34" i="9" s="1"/>
  <c r="AB34" i="9" s="1"/>
  <c r="U33" i="9"/>
  <c r="W33" i="9" s="1"/>
  <c r="U40" i="9"/>
  <c r="U10" i="9"/>
  <c r="W10" i="9" s="1"/>
  <c r="U39" i="9"/>
  <c r="U23" i="9"/>
  <c r="U9" i="9"/>
  <c r="AC21" i="9"/>
  <c r="AB21" i="9"/>
  <c r="U21" i="9"/>
  <c r="U8" i="9"/>
  <c r="U7" i="9"/>
  <c r="Y42" i="9" l="1"/>
  <c r="AJ42" i="9" s="1"/>
  <c r="AH42" i="9"/>
  <c r="Y10" i="9"/>
  <c r="AD10" i="9" s="1"/>
  <c r="P23" i="9"/>
  <c r="S23" i="9"/>
  <c r="AC65" i="9" l="1"/>
  <c r="AB65" i="9" l="1"/>
  <c r="AD62" i="9"/>
  <c r="AD61" i="9"/>
  <c r="AD65" i="9" s="1"/>
  <c r="Y62" i="9" l="1"/>
  <c r="AJ62" i="9" s="1"/>
  <c r="W62" i="9"/>
  <c r="AH62" i="9" l="1"/>
  <c r="AJ10" i="9"/>
  <c r="AH10" i="9"/>
  <c r="AF51" i="9" l="1"/>
  <c r="AK51" i="9"/>
  <c r="W9" i="9" l="1"/>
  <c r="AB9" i="9" s="1"/>
  <c r="Y9" i="9"/>
  <c r="AD9" i="9" l="1"/>
  <c r="AJ9" i="9" s="1"/>
  <c r="AH9" i="9"/>
  <c r="Y51" i="9"/>
  <c r="AJ51" i="9" s="1"/>
  <c r="W51" i="9"/>
  <c r="AH51" i="9" l="1"/>
  <c r="W37" i="9" l="1"/>
  <c r="AB37" i="9" s="1"/>
  <c r="AH37" i="9" s="1"/>
  <c r="AK37" i="9"/>
  <c r="U37" i="9"/>
  <c r="Y37" i="9" s="1"/>
  <c r="AD37" i="9" l="1"/>
  <c r="AJ37" i="9" s="1"/>
  <c r="W26" i="9" l="1"/>
  <c r="AH26" i="9" l="1"/>
  <c r="Y26" i="9"/>
  <c r="AD26" i="9" l="1"/>
  <c r="AJ26" i="9" s="1"/>
  <c r="AH34" i="9"/>
  <c r="Y34" i="9"/>
  <c r="W8" i="9"/>
  <c r="AB8" i="9" s="1"/>
  <c r="Y8" i="9" l="1"/>
  <c r="AD34" i="9"/>
  <c r="Y61" i="9"/>
  <c r="W65" i="9" l="1"/>
  <c r="AH61" i="9"/>
  <c r="Y65" i="9"/>
  <c r="AJ61" i="9"/>
  <c r="AJ34" i="9"/>
  <c r="Y19" i="9"/>
  <c r="W19" i="9"/>
  <c r="AJ65" i="9" l="1"/>
  <c r="AE19" i="9"/>
  <c r="AK19" i="9" s="1"/>
  <c r="AH19" i="9"/>
  <c r="AH65" i="9"/>
  <c r="AD19" i="9"/>
  <c r="AJ19" i="9" s="1"/>
  <c r="AK45" i="9"/>
  <c r="Y45" i="9"/>
  <c r="AD45" i="9" s="1"/>
  <c r="AF45" i="9" s="1"/>
  <c r="W45" i="9"/>
  <c r="AH45" i="9" s="1"/>
  <c r="AJ45" i="9" l="1"/>
  <c r="Y23" i="9"/>
  <c r="W23" i="9"/>
  <c r="AB23" i="9" l="1"/>
  <c r="AH23" i="9"/>
  <c r="AD23" i="9"/>
  <c r="X1" i="9"/>
  <c r="AK36" i="9"/>
  <c r="W36" i="9"/>
  <c r="AH36" i="9" s="1"/>
  <c r="Y36" i="9"/>
  <c r="AD47" i="9" l="1"/>
  <c r="AC43" i="9"/>
  <c r="AD43" i="9" s="1"/>
  <c r="AC47" i="9"/>
  <c r="AC28" i="9"/>
  <c r="AD48" i="9"/>
  <c r="AD28" i="9"/>
  <c r="X42" i="9"/>
  <c r="X10" i="9"/>
  <c r="X33" i="9"/>
  <c r="AC33" i="9" s="1"/>
  <c r="X62" i="9"/>
  <c r="X9" i="9"/>
  <c r="X51" i="9"/>
  <c r="X37" i="9"/>
  <c r="X26" i="9"/>
  <c r="AE26" i="9" s="1"/>
  <c r="AK26" i="9" s="1"/>
  <c r="AD36" i="9"/>
  <c r="AF36" i="9" s="1"/>
  <c r="X34" i="9"/>
  <c r="X61" i="9"/>
  <c r="X19" i="9"/>
  <c r="AC19" i="9" s="1"/>
  <c r="X36" i="9"/>
  <c r="AI36" i="9" s="1"/>
  <c r="X45" i="9"/>
  <c r="AC48" i="9"/>
  <c r="X23" i="9"/>
  <c r="AJ23" i="9"/>
  <c r="AI42" i="9" l="1"/>
  <c r="Z42" i="9"/>
  <c r="AL42" i="9" s="1"/>
  <c r="AE34" i="9"/>
  <c r="AK34" i="9" s="1"/>
  <c r="AC34" i="9"/>
  <c r="AI34" i="9" s="1"/>
  <c r="AE9" i="9"/>
  <c r="AK9" i="9" s="1"/>
  <c r="AC9" i="9"/>
  <c r="AC23" i="9"/>
  <c r="AI23" i="9" s="1"/>
  <c r="AE23" i="9"/>
  <c r="AK23" i="9" s="1"/>
  <c r="Z10" i="9"/>
  <c r="AE10" i="9"/>
  <c r="AI10" i="9"/>
  <c r="Z26" i="9"/>
  <c r="Z37" i="9"/>
  <c r="AC37" i="9"/>
  <c r="AF37" i="9" s="1"/>
  <c r="Z9" i="9"/>
  <c r="AI51" i="9"/>
  <c r="Z51" i="9"/>
  <c r="AL51" i="9" s="1"/>
  <c r="AI62" i="9"/>
  <c r="AE62" i="9" s="1"/>
  <c r="Z62" i="9"/>
  <c r="Z61" i="9"/>
  <c r="AI61" i="9"/>
  <c r="AE61" i="9" s="1"/>
  <c r="X65" i="9"/>
  <c r="AF19" i="9"/>
  <c r="Z19" i="9"/>
  <c r="Z36" i="9"/>
  <c r="AL36" i="9" s="1"/>
  <c r="Z34" i="9"/>
  <c r="AJ36" i="9"/>
  <c r="Z23" i="9"/>
  <c r="AI45" i="9"/>
  <c r="Z45" i="9"/>
  <c r="AL45" i="9" s="1"/>
  <c r="W46" i="9"/>
  <c r="AK46" i="9"/>
  <c r="AE65" i="9" l="1"/>
  <c r="AF9" i="9"/>
  <c r="AF34" i="9"/>
  <c r="AF10" i="9"/>
  <c r="AK10" i="9"/>
  <c r="AL37" i="9"/>
  <c r="AL10" i="9"/>
  <c r="AL34" i="9"/>
  <c r="AI9" i="9"/>
  <c r="Z65" i="9"/>
  <c r="AI37" i="9"/>
  <c r="AF23" i="9"/>
  <c r="AL23" i="9" s="1"/>
  <c r="AK62" i="9"/>
  <c r="AF62" i="9"/>
  <c r="AL62" i="9" s="1"/>
  <c r="AL9" i="9"/>
  <c r="AI26" i="9"/>
  <c r="AF26" i="9"/>
  <c r="AL26" i="9" s="1"/>
  <c r="AI65" i="9"/>
  <c r="AN65" i="9" s="1"/>
  <c r="AL19" i="9"/>
  <c r="AI19" i="9"/>
  <c r="AH46" i="9"/>
  <c r="Y46" i="9"/>
  <c r="AD46" i="9" s="1"/>
  <c r="AF46" i="9" s="1"/>
  <c r="AK7" i="9"/>
  <c r="Y7" i="9"/>
  <c r="AF61" i="9" l="1"/>
  <c r="AF65" i="9" s="1"/>
  <c r="AK61" i="9"/>
  <c r="AK65" i="9" s="1"/>
  <c r="AJ46" i="9"/>
  <c r="AD7" i="9"/>
  <c r="AJ7" i="9" s="1"/>
  <c r="W7" i="9"/>
  <c r="AL61" i="9" l="1"/>
  <c r="AL65" i="9" s="1"/>
  <c r="AB7" i="9"/>
  <c r="AH7" i="9" l="1"/>
  <c r="Y5" i="9" l="1"/>
  <c r="AD5" i="9" s="1"/>
  <c r="Y38" i="9" l="1"/>
  <c r="W38" i="9"/>
  <c r="AK49" i="9" l="1"/>
  <c r="AF49" i="9"/>
  <c r="AK48" i="9"/>
  <c r="AB48" i="9"/>
  <c r="Y48" i="9"/>
  <c r="AJ48" i="9" s="1"/>
  <c r="AK47" i="9"/>
  <c r="AK43" i="9"/>
  <c r="AF43" i="9"/>
  <c r="Y43" i="9"/>
  <c r="W43" i="9"/>
  <c r="AK40" i="9"/>
  <c r="AF40" i="9"/>
  <c r="Y40" i="9"/>
  <c r="AJ40" i="9" s="1"/>
  <c r="W40" i="9"/>
  <c r="AH40" i="9" s="1"/>
  <c r="AK39" i="9"/>
  <c r="Y39" i="9"/>
  <c r="AD39" i="9" s="1"/>
  <c r="W39" i="9"/>
  <c r="AH39" i="9" s="1"/>
  <c r="AK33" i="9"/>
  <c r="Y33" i="9"/>
  <c r="AD33" i="9" s="1"/>
  <c r="S33" i="9"/>
  <c r="AK31" i="9"/>
  <c r="AF31" i="9"/>
  <c r="Y31" i="9"/>
  <c r="S31" i="9"/>
  <c r="AK30" i="9"/>
  <c r="Y30" i="9"/>
  <c r="AD30" i="9" s="1"/>
  <c r="S30" i="9"/>
  <c r="AK28" i="9"/>
  <c r="Y28" i="9"/>
  <c r="S28" i="9"/>
  <c r="AK21" i="9"/>
  <c r="W21" i="9"/>
  <c r="AK18" i="9"/>
  <c r="AJ18" i="9"/>
  <c r="AI18" i="9"/>
  <c r="AH18" i="9"/>
  <c r="AF18" i="9"/>
  <c r="Z18" i="9"/>
  <c r="AK17" i="9"/>
  <c r="Y16" i="9"/>
  <c r="AD16" i="9" s="1"/>
  <c r="AK14" i="9"/>
  <c r="Y14" i="9"/>
  <c r="AD14" i="9" s="1"/>
  <c r="AF14" i="9" s="1"/>
  <c r="W14" i="9"/>
  <c r="AH14" i="9" s="1"/>
  <c r="AK13" i="9"/>
  <c r="Y13" i="9"/>
  <c r="AD13" i="9" s="1"/>
  <c r="W13" i="9"/>
  <c r="Y12" i="9"/>
  <c r="AD12" i="9" s="1"/>
  <c r="AK11" i="9"/>
  <c r="W11" i="9"/>
  <c r="AK6" i="9"/>
  <c r="Y6" i="9"/>
  <c r="AD6" i="9" s="1"/>
  <c r="W6" i="9"/>
  <c r="AH6" i="9" s="1"/>
  <c r="S6" i="9"/>
  <c r="P8" i="9"/>
  <c r="AK5" i="9"/>
  <c r="AJ5" i="9"/>
  <c r="AF5" i="9"/>
  <c r="W5" i="9"/>
  <c r="X46" i="9"/>
  <c r="AH43" i="9" l="1"/>
  <c r="AJ43" i="9"/>
  <c r="AI46" i="9"/>
  <c r="Z46" i="9"/>
  <c r="AL46" i="9" s="1"/>
  <c r="X8" i="9"/>
  <c r="AE8" i="9" s="1"/>
  <c r="AK8" i="9" s="1"/>
  <c r="X39" i="9"/>
  <c r="Z39" i="9" s="1"/>
  <c r="X7" i="9"/>
  <c r="AL18" i="9"/>
  <c r="W16" i="9"/>
  <c r="AJ39" i="9"/>
  <c r="AF47" i="9"/>
  <c r="X47" i="9"/>
  <c r="AI47" i="9" s="1"/>
  <c r="X21" i="9"/>
  <c r="AI21" i="9" s="1"/>
  <c r="AF39" i="9"/>
  <c r="Y11" i="9"/>
  <c r="AD11" i="9" s="1"/>
  <c r="Y21" i="9"/>
  <c r="AD21" i="9" s="1"/>
  <c r="AF21" i="9" s="1"/>
  <c r="X13" i="9"/>
  <c r="Z13" i="9" s="1"/>
  <c r="X15" i="9"/>
  <c r="Y15" i="9"/>
  <c r="AJ15" i="9" s="1"/>
  <c r="AF48" i="9"/>
  <c r="W12" i="9"/>
  <c r="X43" i="9"/>
  <c r="X14" i="9"/>
  <c r="AI14" i="9" s="1"/>
  <c r="AI33" i="9"/>
  <c r="AD8" i="9"/>
  <c r="Y47" i="9"/>
  <c r="AJ47" i="9" s="1"/>
  <c r="AJ28" i="9"/>
  <c r="X38" i="9"/>
  <c r="Z38" i="9" s="1"/>
  <c r="X5" i="9"/>
  <c r="AI5" i="9" s="1"/>
  <c r="X11" i="9"/>
  <c r="AJ14" i="9"/>
  <c r="AH21" i="9"/>
  <c r="AF6" i="9"/>
  <c r="AJ6" i="9"/>
  <c r="AB11" i="9"/>
  <c r="Y17" i="9"/>
  <c r="X17" i="9"/>
  <c r="AI17" i="9" s="1"/>
  <c r="AJ30" i="9"/>
  <c r="W49" i="9"/>
  <c r="Y49" i="9"/>
  <c r="AJ49" i="9" s="1"/>
  <c r="X49" i="9"/>
  <c r="AI49" i="9" s="1"/>
  <c r="AH17" i="9"/>
  <c r="AJ13" i="9"/>
  <c r="AJ16" i="9"/>
  <c r="AJ33" i="9"/>
  <c r="W31" i="9"/>
  <c r="AJ31" i="9"/>
  <c r="X31" i="9"/>
  <c r="AI31" i="9" s="1"/>
  <c r="AH5" i="9"/>
  <c r="AJ12" i="9"/>
  <c r="X6" i="9"/>
  <c r="AI6" i="9" s="1"/>
  <c r="AB13" i="9"/>
  <c r="W28" i="9"/>
  <c r="X30" i="9"/>
  <c r="AC30" i="9" s="1"/>
  <c r="W48" i="9"/>
  <c r="W30" i="9"/>
  <c r="AB30" i="9" s="1"/>
  <c r="X28" i="9"/>
  <c r="X48" i="9"/>
  <c r="AI48" i="9" s="1"/>
  <c r="X12" i="9"/>
  <c r="W15" i="9"/>
  <c r="X16" i="9"/>
  <c r="AN16" i="9" s="1"/>
  <c r="X40" i="9"/>
  <c r="W47" i="9"/>
  <c r="AH16" i="9" l="1"/>
  <c r="AE16" i="9"/>
  <c r="AC15" i="9"/>
  <c r="AE15" i="9"/>
  <c r="AH12" i="9"/>
  <c r="AE12" i="9"/>
  <c r="AK15" i="9"/>
  <c r="AB15" i="9"/>
  <c r="AC8" i="9"/>
  <c r="AF8" i="9" s="1"/>
  <c r="AI43" i="9"/>
  <c r="AC13" i="9"/>
  <c r="AI13" i="9" s="1"/>
  <c r="AF28" i="9"/>
  <c r="AI15" i="9"/>
  <c r="AN15" i="9"/>
  <c r="AC7" i="9"/>
  <c r="Z7" i="9"/>
  <c r="AJ11" i="9"/>
  <c r="AL39" i="9"/>
  <c r="AI28" i="9"/>
  <c r="AJ21" i="9"/>
  <c r="Z5" i="9"/>
  <c r="AL5" i="9" s="1"/>
  <c r="Z11" i="9"/>
  <c r="Z21" i="9"/>
  <c r="AL21" i="9" s="1"/>
  <c r="Z43" i="9"/>
  <c r="AL43" i="9" s="1"/>
  <c r="AI39" i="9"/>
  <c r="Z14" i="9"/>
  <c r="AL14" i="9" s="1"/>
  <c r="W53" i="9"/>
  <c r="Z17" i="9"/>
  <c r="AC11" i="9"/>
  <c r="AF11" i="9" s="1"/>
  <c r="Y53" i="9"/>
  <c r="X53" i="9"/>
  <c r="Z33" i="9"/>
  <c r="AB33" i="9"/>
  <c r="AF33" i="9" s="1"/>
  <c r="AI16" i="9"/>
  <c r="Z16" i="9"/>
  <c r="Z15" i="9"/>
  <c r="Z30" i="9"/>
  <c r="Z6" i="9"/>
  <c r="AL6" i="9" s="1"/>
  <c r="AH11" i="9"/>
  <c r="AI12" i="9"/>
  <c r="AN12" i="9" s="1"/>
  <c r="Z12" i="9"/>
  <c r="Z48" i="9"/>
  <c r="AL48" i="9" s="1"/>
  <c r="AH48" i="9"/>
  <c r="AJ8" i="9"/>
  <c r="AH47" i="9"/>
  <c r="Z47" i="9"/>
  <c r="AL47" i="9" s="1"/>
  <c r="AF17" i="9"/>
  <c r="AH13" i="9"/>
  <c r="AH8" i="9"/>
  <c r="Z8" i="9"/>
  <c r="AH31" i="9"/>
  <c r="Z31" i="9"/>
  <c r="AL31" i="9" s="1"/>
  <c r="AI40" i="9"/>
  <c r="Z40" i="9"/>
  <c r="AL40" i="9" s="1"/>
  <c r="AI30" i="9"/>
  <c r="Z28" i="9"/>
  <c r="AH28" i="9"/>
  <c r="AH49" i="9"/>
  <c r="Z49" i="9"/>
  <c r="AL49" i="9" s="1"/>
  <c r="AF12" i="9" l="1"/>
  <c r="AL12" i="9" s="1"/>
  <c r="AK12" i="9"/>
  <c r="AK16" i="9"/>
  <c r="AF16" i="9"/>
  <c r="AL16" i="9" s="1"/>
  <c r="AE53" i="9"/>
  <c r="AI8" i="9"/>
  <c r="AL8" i="9"/>
  <c r="AF13" i="9"/>
  <c r="AL13" i="9" s="1"/>
  <c r="AL28" i="9"/>
  <c r="AF15" i="9"/>
  <c r="AL15" i="9" s="1"/>
  <c r="AC53" i="9"/>
  <c r="AI7" i="9"/>
  <c r="AF7" i="9"/>
  <c r="AL7" i="9" s="1"/>
  <c r="AF30" i="9"/>
  <c r="AL30" i="9" s="1"/>
  <c r="AL11" i="9"/>
  <c r="AL17" i="9"/>
  <c r="AI11" i="9"/>
  <c r="Z53" i="9"/>
  <c r="AB53" i="9"/>
  <c r="AD53" i="9"/>
  <c r="AJ17" i="9"/>
  <c r="AJ53" i="9" s="1"/>
  <c r="AH15" i="9"/>
  <c r="AH30" i="9"/>
  <c r="AL33" i="9"/>
  <c r="AH33" i="9"/>
  <c r="AK53" i="9" l="1"/>
  <c r="AI53" i="9"/>
  <c r="AN53" i="9" s="1"/>
  <c r="AH53" i="9"/>
  <c r="AF53" i="9"/>
  <c r="AL53" i="9"/>
</calcChain>
</file>

<file path=xl/sharedStrings.xml><?xml version="1.0" encoding="utf-8"?>
<sst xmlns="http://schemas.openxmlformats.org/spreadsheetml/2006/main" count="349" uniqueCount="219">
  <si>
    <t>Company Name</t>
  </si>
  <si>
    <t>Jobs Commitment</t>
  </si>
  <si>
    <t xml:space="preserve">Average Wage </t>
  </si>
  <si>
    <t>All Tax Abated Properties Addresses</t>
  </si>
  <si>
    <t>Agreement Investment Notes</t>
  </si>
  <si>
    <t>Resolution Date</t>
  </si>
  <si>
    <t xml:space="preserve">Year Beginning </t>
  </si>
  <si>
    <t>Year Ending</t>
  </si>
  <si>
    <t>Primary Address Lat</t>
  </si>
  <si>
    <t>Primary Address Long</t>
  </si>
  <si>
    <t>N/A</t>
  </si>
  <si>
    <t>Olan Mills Drive</t>
  </si>
  <si>
    <t>3063 Hickory Valley Rd</t>
  </si>
  <si>
    <t>JARNIGAN ROAD/EMJ CORP (CBL)</t>
  </si>
  <si>
    <t>2034 Hamilton Place Blvd</t>
  </si>
  <si>
    <t>PLASTIC OMNIUM AUTO EXTERIORS, LLC</t>
  </si>
  <si>
    <t>3241 Hickory Valley Rd</t>
  </si>
  <si>
    <t>PROVIDENT/UNUM PROVIDENT CORP.</t>
  </si>
  <si>
    <t>473 Walnut St</t>
  </si>
  <si>
    <t>Compress St, 3480 Amnicola, 625 Hulsey</t>
  </si>
  <si>
    <t>WESTINGHOUSE ELECTRIC CO</t>
  </si>
  <si>
    <t>401 River Terminal Rd</t>
  </si>
  <si>
    <t>WM WRIGLEY JR CO</t>
  </si>
  <si>
    <t>3002 Jersey Pike</t>
  </si>
  <si>
    <t>AMAZON.COM DEDC LLC PROJECT</t>
  </si>
  <si>
    <t>7200 Volkswagen Dr</t>
  </si>
  <si>
    <t>7380 Volkswagen Dr</t>
  </si>
  <si>
    <t>RIVERCITY CO - MAJESTIC 12 THEATER</t>
  </si>
  <si>
    <t>311 Broad St</t>
  </si>
  <si>
    <t>VOLKSWAGEN GROUP OF AMERICA INC</t>
  </si>
  <si>
    <t>8001 Volkswagen Dr &amp; Discovery Dr</t>
  </si>
  <si>
    <t>MK, LLC</t>
  </si>
  <si>
    <t>SOUTH MARKET LLC</t>
  </si>
  <si>
    <t>1280 Market St</t>
  </si>
  <si>
    <t>UTC TWO LLC</t>
  </si>
  <si>
    <t>Lindsay St &amp; 615 Lindsay St</t>
  </si>
  <si>
    <t>UTC THREE LLC</t>
  </si>
  <si>
    <t>863 McCallie Ave</t>
  </si>
  <si>
    <t>WALNUT COMMONS LLC</t>
  </si>
  <si>
    <t>212 Walnut St</t>
  </si>
  <si>
    <t>Assessment on PILOT Properties</t>
  </si>
  <si>
    <t>Property Tax without PILOT Agreement</t>
  </si>
  <si>
    <t>City Taxes</t>
  </si>
  <si>
    <t>County General Tax</t>
  </si>
  <si>
    <t>County School Tax</t>
  </si>
  <si>
    <t>VOLKSWAGEN GROUP OF AMERICA INC - 2014</t>
  </si>
  <si>
    <t>Total Tax - w/o PILOT</t>
  </si>
  <si>
    <t>Net Cost of PILOT</t>
  </si>
  <si>
    <t>City</t>
  </si>
  <si>
    <t>County General Government</t>
  </si>
  <si>
    <t>County Schools</t>
  </si>
  <si>
    <t>Total Cost of PILOT</t>
  </si>
  <si>
    <t>City Council Approval</t>
  </si>
  <si>
    <t>County Commission Approval</t>
  </si>
  <si>
    <t>INDUSTRIAL DEVELOPMENT BOARD OF CHATTANOOGA</t>
  </si>
  <si>
    <t>HEALTH, EDUCATION AND HOUSING FACILITIES BOARD</t>
  </si>
  <si>
    <t>INDUSTRIAL DEVELOPMENT BOARD OF HAMILTON COUNTY</t>
  </si>
  <si>
    <t>1210-12</t>
  </si>
  <si>
    <t>302-41A</t>
  </si>
  <si>
    <t>207-26</t>
  </si>
  <si>
    <t>706-17</t>
  </si>
  <si>
    <t>614-19</t>
  </si>
  <si>
    <t>309-37</t>
  </si>
  <si>
    <t>1008-27</t>
  </si>
  <si>
    <t>1214-8</t>
  </si>
  <si>
    <t>SOUTHERN CHAMPION TRAY 2014</t>
  </si>
  <si>
    <t>Resolution</t>
  </si>
  <si>
    <t>1212-20</t>
  </si>
  <si>
    <t>1212-21</t>
  </si>
  <si>
    <t>1108-43</t>
  </si>
  <si>
    <t>1010-8</t>
  </si>
  <si>
    <t>1006-36</t>
  </si>
  <si>
    <t>714-31</t>
  </si>
  <si>
    <t>State Map No.</t>
  </si>
  <si>
    <t>Per 040158</t>
  </si>
  <si>
    <t>139-074</t>
  </si>
  <si>
    <t>148M-G-005.01; Per 035391</t>
  </si>
  <si>
    <t>151-036-L000; Per 033050</t>
  </si>
  <si>
    <t>135M-E-001</t>
  </si>
  <si>
    <t>135NB-A-003</t>
  </si>
  <si>
    <t>145E-L-013.01 C001</t>
  </si>
  <si>
    <t>130-008.18, 24; Per 036767, Per 042026</t>
  </si>
  <si>
    <t>127K-A-001.18; Per 038818</t>
  </si>
  <si>
    <t>138I-A-002.01; Per 404153</t>
  </si>
  <si>
    <t>314-25</t>
  </si>
  <si>
    <t>Bill for Payments in Lieu of Taxes</t>
  </si>
  <si>
    <t>Total In Lieu of Taxes</t>
  </si>
  <si>
    <t>2006</t>
  </si>
  <si>
    <t>8002 Volkswagen Dr &amp; Discovery Dr</t>
  </si>
  <si>
    <t>Economic Dev. Fee</t>
  </si>
  <si>
    <t>Link to Resolution</t>
  </si>
  <si>
    <t>View</t>
  </si>
  <si>
    <t>10638 Apison Pike</t>
  </si>
  <si>
    <t>COCA-COLA BOTTLING COMPANY UNITED</t>
  </si>
  <si>
    <t>McKEE FOODS (City of Collegedale)</t>
  </si>
  <si>
    <t>914-31</t>
  </si>
  <si>
    <t>215-37</t>
  </si>
  <si>
    <t>515-28</t>
  </si>
  <si>
    <t>GESTAMP NORTH AMERICA, INC</t>
  </si>
  <si>
    <t>715-15</t>
  </si>
  <si>
    <t>GESTAMP CHATTANOOGA LLC (07/2010)</t>
  </si>
  <si>
    <t>UTC FIVE, LLC</t>
  </si>
  <si>
    <t>500 Lindsay Street</t>
  </si>
  <si>
    <t>HERITAGE-MACLELLAN APARTMENTS, LLC</t>
  </si>
  <si>
    <t>Agreement Notes</t>
  </si>
  <si>
    <t>Must reserve at least 20% of available units for lower income persons</t>
  </si>
  <si>
    <t>90 apts contemplated plus retail space; must reserve at least 20% of available units for lower income persons</t>
  </si>
  <si>
    <t>64 units contemplated; must reserve at least 20% of available units for lower income persons</t>
  </si>
  <si>
    <t>715-16</t>
  </si>
  <si>
    <t>715-17</t>
  </si>
  <si>
    <t>VAN DE WIELE, INC</t>
  </si>
  <si>
    <t>710-4</t>
  </si>
  <si>
    <t>1109-52</t>
  </si>
  <si>
    <t>908-48</t>
  </si>
  <si>
    <t>308-51</t>
  </si>
  <si>
    <t>1015-20</t>
  </si>
  <si>
    <t>added 4120 Jersey Pike Property</t>
  </si>
  <si>
    <t>10260 McKee Drive and 10638 Apison Pike</t>
  </si>
  <si>
    <t>1015-54</t>
  </si>
  <si>
    <t>130-001-.33; Per 046992</t>
  </si>
  <si>
    <t>145D-B-008, 012; Per 045379</t>
  </si>
  <si>
    <t>146H-E-001; Per 045380</t>
  </si>
  <si>
    <t>127L-A-022.01; 023; 135F-A-005; 003; Per 046890</t>
  </si>
  <si>
    <t>YANFENG US AUTOMOTIVE INTERIOR SYSTEMS I LLC PROJECT</t>
  </si>
  <si>
    <t>116-27</t>
  </si>
  <si>
    <t>ECG CHESTNUT, LP</t>
  </si>
  <si>
    <t>2108 Chestnut Street</t>
  </si>
  <si>
    <t>1116-3</t>
  </si>
  <si>
    <t>174 one and two bedroom units for low income housing</t>
  </si>
  <si>
    <t>138O-B-001.03; Per 047001</t>
  </si>
  <si>
    <t>132-002.13; Per 048602</t>
  </si>
  <si>
    <t>135M-G-008; Per 048858</t>
  </si>
  <si>
    <t>135M-B-008 L001; Per 043664</t>
  </si>
  <si>
    <t>721 Broad Street</t>
  </si>
  <si>
    <t>1216-31</t>
  </si>
  <si>
    <t>STANDARD COOSA LOFTS, LLC</t>
  </si>
  <si>
    <t>1216-8</t>
  </si>
  <si>
    <t>500 W. MLK Blvd</t>
  </si>
  <si>
    <t>100% of dwelling units will be for lower income households</t>
  </si>
  <si>
    <t>Investment Commitment</t>
  </si>
  <si>
    <t>CHATTANOOGA HOUSING AUTHORITY</t>
  </si>
  <si>
    <t>Renovation of Jaycee Towers for low to moderate income elderly tenants.</t>
  </si>
  <si>
    <t>AMAZON.COM - COLE ID CHATT US REAL ESTATE</t>
  </si>
  <si>
    <t>BLUE CROSS BLUE SHIELD OF TN INC</t>
  </si>
  <si>
    <t>1 &amp; 23 Cameron Hill Cir &amp; 505 E MLK Blvd</t>
  </si>
  <si>
    <t>135N-B-005, 005.01, 005.02; Per 031074</t>
  </si>
  <si>
    <t>305-34</t>
  </si>
  <si>
    <t>HOMESERVE USA CORP</t>
  </si>
  <si>
    <t>517-30</t>
  </si>
  <si>
    <t>TSO CHATTANOOGA DEVELOPMENT, LP</t>
  </si>
  <si>
    <t>700 Market Street</t>
  </si>
  <si>
    <t>815-19</t>
  </si>
  <si>
    <t>125 residental rental units plus retail and office space and parking structure, must reserve at least 20% of available units for lower income persons</t>
  </si>
  <si>
    <t>6093 Relocation Way</t>
  </si>
  <si>
    <t>Combined commitments for this project and Map 139-074</t>
  </si>
  <si>
    <t>Combined commitments for this project and Per 040158</t>
  </si>
  <si>
    <t>145F-J-003; Per 048861</t>
  </si>
  <si>
    <t>145DA-D-010; Per 048428</t>
  </si>
  <si>
    <t>Per 050278</t>
  </si>
  <si>
    <t>7463 Bonnyshire Drive</t>
  </si>
  <si>
    <t>TAX INCREMENT FINANCING (TIF) AGREEMENTS</t>
  </si>
  <si>
    <t>Black Creek Mountain</t>
  </si>
  <si>
    <t>Martin Luther King Extension</t>
  </si>
  <si>
    <t>Development of associated Black Creek Mountain property</t>
  </si>
  <si>
    <t>Assessment on TIF Properties</t>
  </si>
  <si>
    <t>Property Tax without TIF Agreement</t>
  </si>
  <si>
    <t>Net Cost of TIF</t>
  </si>
  <si>
    <t xml:space="preserve">Total </t>
  </si>
  <si>
    <t>612-27</t>
  </si>
  <si>
    <t>318-14</t>
  </si>
  <si>
    <t>1217-30</t>
  </si>
  <si>
    <t>ALCO WOODLAWN PARTNERS, LP   (BAYBERRY APARTMENTS DEVELOPMENT)</t>
  </si>
  <si>
    <t>2300 Wilson Street; 1101 Arlington Avenue and 2300 Windsor Street</t>
  </si>
  <si>
    <t>RIDGEWAY HOUSING PARTNERS, L.P.</t>
  </si>
  <si>
    <t>1018-4</t>
  </si>
  <si>
    <t>1230 Poplar Street</t>
  </si>
  <si>
    <t>120 one, two and three bedroom units, multifamily, low income housing tax credit apartment project</t>
  </si>
  <si>
    <t xml:space="preserve">130-001.25; Per 038692;       </t>
  </si>
  <si>
    <t>145CB-A-005; Per 051475</t>
  </si>
  <si>
    <t>141-033 L000; Per 10052016</t>
  </si>
  <si>
    <t>M&amp;M INDUSTRIES, INC</t>
  </si>
  <si>
    <t>1435 East 14th Street and 316 Corporate Place</t>
  </si>
  <si>
    <t>1117-27</t>
  </si>
  <si>
    <t>146O-C-001 L000;                154-009.09L000</t>
  </si>
  <si>
    <t>146D-A-001; 146D-A-009;  146D-D-003</t>
  </si>
  <si>
    <t>RIVERVIEW HOUSING ASSOCIATES, L.P.  (JAYCEE TOWER)</t>
  </si>
  <si>
    <t>GESTAMP CHATTANOOGA LLC (II)</t>
  </si>
  <si>
    <t>145C-B-007; Per 10052783</t>
  </si>
  <si>
    <t>130-001.34; Per 048704</t>
  </si>
  <si>
    <t>130-001.26; 138I-A-003;        Per 049271; Per 048703</t>
  </si>
  <si>
    <t>PATTEN AFFORDABLE PARTNERS, LP</t>
  </si>
  <si>
    <t>119-16</t>
  </si>
  <si>
    <t>1 East 11th Street</t>
  </si>
  <si>
    <t>Market Street</t>
  </si>
  <si>
    <t>43 new and 270 retained jobs</t>
  </si>
  <si>
    <t>City will receive Stormwater Fee, and HCDE will receive 100% of School tax due less City Stormwater Fee.</t>
  </si>
  <si>
    <t xml:space="preserve"> Minimum jobs requirement - 260</t>
  </si>
  <si>
    <t>Admin. Fee</t>
  </si>
  <si>
    <t>1700 &amp; 1800 South Watkins Street</t>
  </si>
  <si>
    <t xml:space="preserve">Property Tax retained by City and County </t>
  </si>
  <si>
    <t>Total Tax - w/o TIF</t>
  </si>
  <si>
    <t>Total Cost of TIF</t>
  </si>
  <si>
    <t>319-14</t>
  </si>
  <si>
    <t>Amended and restated agreement 03/20/19 adds an additional 150 jobs by 2023 and and additional $48M in expansion of facility</t>
  </si>
  <si>
    <t>139P-C-007; Per 10054783</t>
  </si>
  <si>
    <t>145L-B-006.01; Per 10031291</t>
  </si>
  <si>
    <t>2019 City taxes billed</t>
  </si>
  <si>
    <t>2019 County taxes billed</t>
  </si>
  <si>
    <t>2019 School taxes billed</t>
  </si>
  <si>
    <t xml:space="preserve">2019 City </t>
  </si>
  <si>
    <t>2019 County</t>
  </si>
  <si>
    <t>2019 School</t>
  </si>
  <si>
    <t>145F-A-005; Per 10054385</t>
  </si>
  <si>
    <t>138I-A-002.01</t>
  </si>
  <si>
    <t>MA 1400 CHESTNUT LLC</t>
  </si>
  <si>
    <t>East Chattanooga Rising (Tubman)</t>
  </si>
  <si>
    <t>1219-27</t>
  </si>
  <si>
    <r>
      <rPr>
        <b/>
        <sz val="10"/>
        <rFont val="Arial"/>
        <family val="2"/>
      </rPr>
      <t>NOTE:</t>
    </r>
    <r>
      <rPr>
        <sz val="10"/>
        <rFont val="Arial"/>
        <family val="2"/>
      </rPr>
      <t xml:space="preserve"> PILOT agreements for companies shaded in BLUE have been approved by each of the County and City legislative bodies, but the agreements have not become effective as of Tax Year 2019.</t>
    </r>
  </si>
  <si>
    <t>Proceeds from TIF toward infrastructure and road impr. - approx. $4 million plus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</si>
</sst>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_(* #,##0.0000_);_(* \(#,##0.0000\);_(* &quot;-&quot;??_);_(@_)"/>
    <numFmt numFmtId="167" formatCode="_(* #,##0_);_(* \(#,##0\);_(* &quot;-&quot;??_);_(@_)"/>
    <numFmt numFmtId="168" formatCode="0.00000%"/>
  </numFmts>
  <fonts count="20" x14ac:knownFonts="1">
    <font>
      <sz val="10"/>
      <name val="Arial"/>
    </font>
    <font>
      <b/>
      <sz val="10"/>
      <name val="Arial"/>
      <family val="2"/>
    </font>
    <font>
      <b/>
      <u/>
      <sz val="10"/>
      <name val="Arial"/>
      <family val="2"/>
    </font>
    <font>
      <b/>
      <u/>
      <sz val="10"/>
      <name val="Arial"/>
      <family val="2"/>
    </font>
    <font>
      <sz val="10"/>
      <color rgb="FF000000"/>
      <name val="Arial"/>
      <family val="2"/>
    </font>
    <font>
      <sz val="10"/>
      <name val="Arial"/>
      <family val="2"/>
    </font>
    <font>
      <b/>
      <u/>
      <sz val="10"/>
      <name val="Arial"/>
      <family val="2"/>
    </font>
    <font>
      <b/>
      <sz val="10"/>
      <name val="Arial"/>
      <family val="2"/>
    </font>
    <font>
      <i/>
      <sz val="10"/>
      <name val="Arial"/>
      <family val="2"/>
    </font>
    <font>
      <b/>
      <u/>
      <sz val="14"/>
      <name val="Arial"/>
      <family val="2"/>
    </font>
    <font>
      <u/>
      <sz val="10"/>
      <color theme="10"/>
      <name val="Arial"/>
      <family val="2"/>
    </font>
    <font>
      <b/>
      <sz val="10"/>
      <color rgb="FF000000"/>
      <name val="Arial"/>
      <family val="2"/>
    </font>
    <font>
      <u/>
      <sz val="10"/>
      <color theme="10"/>
      <name val="Arial"/>
      <family val="2"/>
    </font>
    <font>
      <sz val="9"/>
      <name val="Arial"/>
      <family val="2"/>
    </font>
    <font>
      <b/>
      <sz val="10"/>
      <color rgb="FFFF0000"/>
      <name val="Arial"/>
      <family val="2"/>
    </font>
    <font>
      <sz val="10"/>
      <name val="Arial"/>
      <family val="2"/>
    </font>
    <font>
      <sz val="10"/>
      <name val="Arial"/>
      <family val="2"/>
    </font>
    <font>
      <u/>
      <sz val="10"/>
      <color rgb="FFFF0000"/>
      <name val="Arial"/>
      <family val="2"/>
    </font>
    <font>
      <u/>
      <sz val="10"/>
      <name val="Arial"/>
      <family val="2"/>
    </font>
    <font>
      <sz val="10"/>
      <name val="Arial"/>
    </font>
  </fonts>
  <fills count="14">
    <fill>
      <patternFill patternType="none"/>
    </fill>
    <fill>
      <patternFill patternType="gray125"/>
    </fill>
    <fill>
      <patternFill patternType="solid">
        <fgColor rgb="FFF9CB9C"/>
        <bgColor rgb="FFF9CB9C"/>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79998168889431442"/>
        <bgColor rgb="FFFFD966"/>
      </patternFill>
    </fill>
    <fill>
      <patternFill patternType="solid">
        <fgColor theme="5" tint="0.79998168889431442"/>
        <bgColor rgb="FFF9CB9C"/>
      </patternFill>
    </fill>
    <fill>
      <patternFill patternType="solid">
        <fgColor theme="3" tint="0.79998168889431442"/>
        <bgColor indexed="64"/>
      </patternFill>
    </fill>
    <fill>
      <patternFill patternType="solid">
        <fgColor theme="3" tint="0.79998168889431442"/>
        <bgColor rgb="FFFFD966"/>
      </patternFill>
    </fill>
    <fill>
      <patternFill patternType="solid">
        <fgColor theme="3" tint="0.79998168889431442"/>
        <bgColor rgb="FFF9CB9C"/>
      </patternFill>
    </fill>
    <fill>
      <patternFill patternType="solid">
        <fgColor rgb="FFFF0000"/>
        <bgColor indexed="64"/>
      </patternFill>
    </fill>
    <fill>
      <patternFill patternType="solid">
        <fgColor theme="8" tint="0.59999389629810485"/>
        <bgColor indexed="64"/>
      </patternFill>
    </fill>
    <fill>
      <patternFill patternType="solid">
        <fgColor theme="8" tint="0.59999389629810485"/>
        <bgColor rgb="FFF9CB9C"/>
      </patternFill>
    </fill>
    <fill>
      <patternFill patternType="solid">
        <fgColor rgb="FFFFFF00"/>
        <bgColor indexed="64"/>
      </patternFill>
    </fill>
  </fills>
  <borders count="8">
    <border>
      <left/>
      <right/>
      <top/>
      <bottom/>
      <diagonal/>
    </border>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10">
    <xf numFmtId="0" fontId="0" fillId="0" borderId="0"/>
    <xf numFmtId="0" fontId="10" fillId="0" borderId="1" applyNumberFormat="0" applyFill="0" applyBorder="0" applyAlignment="0" applyProtection="0"/>
    <xf numFmtId="0" fontId="10" fillId="0" borderId="1" applyNumberFormat="0" applyFill="0" applyBorder="0" applyAlignment="0" applyProtection="0"/>
    <xf numFmtId="0" fontId="5" fillId="0" borderId="1"/>
    <xf numFmtId="0" fontId="12" fillId="0" borderId="0" applyNumberFormat="0" applyFill="0" applyBorder="0" applyAlignment="0" applyProtection="0"/>
    <xf numFmtId="43" fontId="15" fillId="0" borderId="0" applyFont="0" applyFill="0" applyBorder="0" applyAlignment="0" applyProtection="0"/>
    <xf numFmtId="44" fontId="16" fillId="0" borderId="0" applyFont="0" applyFill="0" applyBorder="0" applyAlignment="0" applyProtection="0"/>
    <xf numFmtId="0" fontId="16" fillId="0" borderId="1"/>
    <xf numFmtId="0" fontId="16" fillId="0" borderId="1"/>
    <xf numFmtId="9" fontId="19" fillId="0" borderId="0" applyFont="0" applyFill="0" applyBorder="0" applyAlignment="0" applyProtection="0"/>
  </cellStyleXfs>
  <cellXfs count="401">
    <xf numFmtId="0" fontId="0" fillId="0" borderId="0" xfId="0"/>
    <xf numFmtId="41" fontId="0" fillId="0" borderId="0" xfId="0" applyNumberFormat="1"/>
    <xf numFmtId="165" fontId="8" fillId="0" borderId="0" xfId="0" applyNumberFormat="1" applyFont="1" applyFill="1"/>
    <xf numFmtId="41" fontId="0" fillId="0" borderId="0" xfId="0" applyNumberFormat="1" applyFill="1"/>
    <xf numFmtId="165" fontId="8" fillId="0" borderId="1" xfId="0" applyNumberFormat="1" applyFont="1" applyFill="1" applyBorder="1"/>
    <xf numFmtId="41" fontId="7" fillId="0" borderId="1" xfId="0" applyNumberFormat="1" applyFont="1" applyFill="1" applyBorder="1" applyAlignment="1">
      <alignment horizontal="centerContinuous"/>
    </xf>
    <xf numFmtId="41" fontId="0" fillId="0" borderId="1" xfId="0" applyNumberFormat="1" applyFill="1" applyBorder="1"/>
    <xf numFmtId="41" fontId="7" fillId="3" borderId="2" xfId="0" applyNumberFormat="1" applyFont="1" applyFill="1" applyBorder="1" applyAlignment="1">
      <alignment horizontal="centerContinuous"/>
    </xf>
    <xf numFmtId="0" fontId="2" fillId="0" borderId="1" xfId="0" applyFont="1" applyBorder="1" applyAlignment="1">
      <alignment horizontal="center" wrapText="1"/>
    </xf>
    <xf numFmtId="41" fontId="2" fillId="0" borderId="1" xfId="0" applyNumberFormat="1" applyFont="1" applyBorder="1" applyAlignment="1">
      <alignment horizontal="center" wrapText="1"/>
    </xf>
    <xf numFmtId="41" fontId="2" fillId="3" borderId="1" xfId="0" applyNumberFormat="1" applyFont="1" applyFill="1" applyBorder="1" applyAlignment="1">
      <alignment horizontal="center" wrapText="1"/>
    </xf>
    <xf numFmtId="41" fontId="6" fillId="3" borderId="1" xfId="0" applyNumberFormat="1" applyFont="1" applyFill="1" applyBorder="1" applyAlignment="1">
      <alignment horizontal="center" wrapText="1"/>
    </xf>
    <xf numFmtId="41" fontId="2" fillId="0" borderId="1" xfId="0" applyNumberFormat="1" applyFont="1" applyFill="1" applyBorder="1" applyAlignment="1">
      <alignment horizontal="center" wrapText="1"/>
    </xf>
    <xf numFmtId="41" fontId="2" fillId="5" borderId="1" xfId="0" applyNumberFormat="1" applyFont="1" applyFill="1" applyBorder="1" applyAlignment="1">
      <alignment horizontal="center" wrapText="1"/>
    </xf>
    <xf numFmtId="14" fontId="2" fillId="0" borderId="1" xfId="0" applyNumberFormat="1" applyFont="1" applyBorder="1" applyAlignment="1">
      <alignment horizontal="center" wrapText="1"/>
    </xf>
    <xf numFmtId="0" fontId="0" fillId="0" borderId="0" xfId="0" applyAlignment="1">
      <alignment wrapText="1"/>
    </xf>
    <xf numFmtId="0" fontId="2" fillId="0" borderId="1" xfId="0" applyFont="1" applyFill="1" applyBorder="1" applyAlignment="1">
      <alignment horizontal="center" wrapText="1"/>
    </xf>
    <xf numFmtId="14" fontId="2" fillId="0" borderId="1" xfId="0" applyNumberFormat="1" applyFont="1" applyFill="1" applyBorder="1" applyAlignment="1">
      <alignment horizontal="center" wrapText="1"/>
    </xf>
    <xf numFmtId="41" fontId="6" fillId="0" borderId="1" xfId="0" applyNumberFormat="1" applyFont="1" applyFill="1" applyBorder="1" applyAlignment="1">
      <alignment horizontal="center" wrapText="1"/>
    </xf>
    <xf numFmtId="0" fontId="0" fillId="0" borderId="0" xfId="0" applyFill="1" applyAlignment="1">
      <alignment wrapText="1"/>
    </xf>
    <xf numFmtId="0" fontId="9" fillId="0" borderId="1" xfId="0" applyFont="1" applyFill="1" applyBorder="1" applyAlignment="1">
      <alignment horizontal="left"/>
    </xf>
    <xf numFmtId="41" fontId="2" fillId="8" borderId="1" xfId="0" applyNumberFormat="1" applyFont="1" applyFill="1" applyBorder="1" applyAlignment="1">
      <alignment horizontal="center" wrapText="1"/>
    </xf>
    <xf numFmtId="0" fontId="0" fillId="0" borderId="0" xfId="0" applyFill="1"/>
    <xf numFmtId="41" fontId="11" fillId="4" borderId="3" xfId="0" applyNumberFormat="1" applyFont="1" applyFill="1" applyBorder="1" applyAlignment="1">
      <alignment horizontal="center"/>
    </xf>
    <xf numFmtId="0" fontId="2" fillId="10" borderId="1" xfId="0" applyFont="1" applyFill="1" applyBorder="1" applyAlignment="1">
      <alignment horizontal="center" wrapText="1"/>
    </xf>
    <xf numFmtId="41" fontId="11" fillId="7" borderId="3" xfId="0" applyNumberFormat="1" applyFont="1" applyFill="1" applyBorder="1" applyAlignment="1">
      <alignment horizontal="center"/>
    </xf>
    <xf numFmtId="41" fontId="11" fillId="3" borderId="3" xfId="0" applyNumberFormat="1" applyFont="1" applyFill="1" applyBorder="1" applyAlignment="1">
      <alignment horizontal="center"/>
    </xf>
    <xf numFmtId="0" fontId="0" fillId="0" borderId="0" xfId="0" applyAlignment="1">
      <alignment horizontal="left"/>
    </xf>
    <xf numFmtId="0" fontId="2" fillId="0" borderId="1" xfId="0" applyFont="1" applyFill="1" applyBorder="1" applyAlignment="1">
      <alignment horizontal="left" wrapText="1"/>
    </xf>
    <xf numFmtId="0" fontId="0" fillId="0" borderId="0" xfId="0" applyFill="1" applyAlignment="1">
      <alignment horizontal="left"/>
    </xf>
    <xf numFmtId="5" fontId="2" fillId="0" borderId="1" xfId="0" applyNumberFormat="1" applyFont="1" applyFill="1" applyBorder="1" applyAlignment="1">
      <alignment horizontal="center" wrapText="1"/>
    </xf>
    <xf numFmtId="0" fontId="0" fillId="0" borderId="0" xfId="0" applyFill="1" applyAlignment="1">
      <alignment horizontal="left" wrapText="1"/>
    </xf>
    <xf numFmtId="5" fontId="0" fillId="0" borderId="0" xfId="0" applyNumberFormat="1" applyAlignment="1">
      <alignment horizontal="center"/>
    </xf>
    <xf numFmtId="5" fontId="0" fillId="0" borderId="0" xfId="0" applyNumberFormat="1" applyFill="1" applyAlignment="1">
      <alignment horizontal="center"/>
    </xf>
    <xf numFmtId="41" fontId="14" fillId="0" borderId="0" xfId="0" applyNumberFormat="1" applyFont="1" applyFill="1"/>
    <xf numFmtId="43" fontId="2" fillId="0" borderId="1" xfId="0" applyNumberFormat="1" applyFont="1" applyFill="1" applyBorder="1" applyAlignment="1">
      <alignment horizontal="center" wrapText="1"/>
    </xf>
    <xf numFmtId="41" fontId="1" fillId="0" borderId="1" xfId="0" applyNumberFormat="1" applyFont="1" applyFill="1" applyBorder="1" applyAlignment="1">
      <alignment horizontal="center"/>
    </xf>
    <xf numFmtId="0" fontId="0" fillId="0" borderId="0" xfId="0" applyFill="1" applyAlignment="1">
      <alignment horizontal="center"/>
    </xf>
    <xf numFmtId="41" fontId="0" fillId="0" borderId="1" xfId="0" applyNumberFormat="1" applyFill="1" applyBorder="1" applyAlignment="1">
      <alignment horizontal="center"/>
    </xf>
    <xf numFmtId="0" fontId="0" fillId="11" borderId="0" xfId="0" applyFill="1" applyAlignment="1"/>
    <xf numFmtId="0" fontId="5" fillId="0" borderId="5" xfId="0" applyFont="1" applyFill="1" applyBorder="1" applyAlignment="1">
      <alignment vertical="top" wrapText="1"/>
    </xf>
    <xf numFmtId="0" fontId="5" fillId="0" borderId="5" xfId="0" applyFont="1" applyBorder="1" applyAlignment="1">
      <alignment vertical="top"/>
    </xf>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xf>
    <xf numFmtId="14" fontId="10" fillId="0" borderId="5" xfId="2" applyNumberFormat="1" applyBorder="1" applyAlignment="1">
      <alignment horizontal="center" vertical="top"/>
    </xf>
    <xf numFmtId="41"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3" fontId="5" fillId="0" borderId="5" xfId="0" applyNumberFormat="1" applyFont="1" applyBorder="1" applyAlignment="1">
      <alignment horizontal="right" vertical="top"/>
    </xf>
    <xf numFmtId="5" fontId="5" fillId="0" borderId="5" xfId="0" applyNumberFormat="1" applyFont="1" applyFill="1" applyBorder="1" applyAlignment="1">
      <alignment horizontal="center" vertical="top" wrapText="1"/>
    </xf>
    <xf numFmtId="164" fontId="5" fillId="0" borderId="5"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3" borderId="5" xfId="0" applyNumberFormat="1" applyFont="1" applyFill="1" applyBorder="1" applyAlignment="1">
      <alignment horizontal="center" vertical="top"/>
    </xf>
    <xf numFmtId="41" fontId="5" fillId="7" borderId="5" xfId="0" applyNumberFormat="1" applyFont="1" applyFill="1" applyBorder="1" applyAlignment="1">
      <alignment horizontal="center" vertical="top"/>
    </xf>
    <xf numFmtId="41" fontId="5" fillId="9" borderId="5"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6" borderId="5" xfId="0" applyNumberFormat="1" applyFont="1" applyFill="1" applyBorder="1" applyAlignment="1">
      <alignment horizontal="center" vertical="top"/>
    </xf>
    <xf numFmtId="41" fontId="4" fillId="6" borderId="5" xfId="5" applyNumberFormat="1" applyFont="1" applyFill="1" applyBorder="1" applyAlignment="1">
      <alignment horizontal="center" vertical="top"/>
    </xf>
    <xf numFmtId="0" fontId="5" fillId="0" borderId="0" xfId="0" applyFont="1" applyAlignment="1">
      <alignment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xf>
    <xf numFmtId="0" fontId="5" fillId="0" borderId="6" xfId="0" applyFont="1" applyBorder="1" applyAlignment="1">
      <alignment horizontal="center" vertical="top" wrapText="1"/>
    </xf>
    <xf numFmtId="14" fontId="5" fillId="0" borderId="6" xfId="0" applyNumberFormat="1" applyFont="1" applyBorder="1" applyAlignment="1">
      <alignment horizontal="center" vertical="top"/>
    </xf>
    <xf numFmtId="14" fontId="10" fillId="0" borderId="6" xfId="2" applyNumberForma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3" fontId="5" fillId="0" borderId="6" xfId="0" applyNumberFormat="1" applyFont="1" applyBorder="1" applyAlignment="1">
      <alignment horizontal="right" vertical="top" wrapText="1"/>
    </xf>
    <xf numFmtId="5" fontId="5" fillId="0" borderId="6" xfId="0" applyNumberFormat="1" applyFont="1" applyFill="1" applyBorder="1" applyAlignment="1">
      <alignment horizontal="center" vertical="top" wrapText="1"/>
    </xf>
    <xf numFmtId="164" fontId="5" fillId="0" borderId="6" xfId="0" applyNumberFormat="1" applyFont="1" applyFill="1" applyBorder="1" applyAlignment="1">
      <alignment horizontal="left" vertical="top" wrapText="1"/>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0" fontId="5" fillId="0" borderId="6" xfId="0" applyFont="1" applyBorder="1" applyAlignment="1">
      <alignment horizontal="right" vertical="top" wrapText="1"/>
    </xf>
    <xf numFmtId="167" fontId="5" fillId="9" borderId="6" xfId="0" applyNumberFormat="1" applyFont="1" applyFill="1" applyBorder="1" applyAlignment="1">
      <alignment horizontal="center" vertical="top"/>
    </xf>
    <xf numFmtId="167" fontId="5" fillId="7" borderId="6" xfId="0" applyNumberFormat="1" applyFont="1" applyFill="1" applyBorder="1" applyAlignment="1">
      <alignment horizontal="center" vertical="top"/>
    </xf>
    <xf numFmtId="0" fontId="5" fillId="0" borderId="1" xfId="0" applyFont="1" applyFill="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xf>
    <xf numFmtId="14" fontId="10" fillId="0" borderId="1" xfId="2" applyNumberFormat="1" applyBorder="1" applyAlignment="1">
      <alignment horizontal="center" vertical="top"/>
    </xf>
    <xf numFmtId="41" fontId="5" fillId="0" borderId="1" xfId="0" applyNumberFormat="1" applyFont="1" applyFill="1" applyBorder="1" applyAlignment="1">
      <alignment horizontal="center" vertical="top"/>
    </xf>
    <xf numFmtId="0" fontId="4" fillId="0" borderId="1" xfId="0" applyFont="1" applyBorder="1" applyAlignment="1">
      <alignment horizontal="center" vertical="top"/>
    </xf>
    <xf numFmtId="14" fontId="4" fillId="0" borderId="1" xfId="0" applyNumberFormat="1" applyFont="1" applyBorder="1" applyAlignment="1">
      <alignment horizontal="center" vertical="top"/>
    </xf>
    <xf numFmtId="14" fontId="10" fillId="0" borderId="1" xfId="2" applyNumberFormat="1" applyFill="1" applyBorder="1" applyAlignment="1">
      <alignment horizontal="center" vertical="top"/>
    </xf>
    <xf numFmtId="0" fontId="4" fillId="0" borderId="1" xfId="0" applyFont="1" applyFill="1" applyBorder="1" applyAlignment="1">
      <alignment horizontal="center" vertical="top"/>
    </xf>
    <xf numFmtId="0" fontId="5" fillId="0" borderId="1" xfId="0" applyFont="1" applyBorder="1" applyAlignment="1">
      <alignment horizontal="right" vertical="top" wrapText="1"/>
    </xf>
    <xf numFmtId="5"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41" fontId="4" fillId="0" borderId="1" xfId="0" applyNumberFormat="1" applyFont="1" applyBorder="1" applyAlignment="1">
      <alignment horizontal="center" vertical="top" wrapText="1"/>
    </xf>
    <xf numFmtId="41" fontId="5" fillId="3" borderId="1" xfId="0" applyNumberFormat="1" applyFont="1" applyFill="1" applyBorder="1" applyAlignment="1">
      <alignment horizontal="center" vertical="top"/>
    </xf>
    <xf numFmtId="167" fontId="5" fillId="7" borderId="1" xfId="0" applyNumberFormat="1" applyFont="1" applyFill="1" applyBorder="1" applyAlignment="1">
      <alignment horizontal="center" vertical="top"/>
    </xf>
    <xf numFmtId="41" fontId="5" fillId="7"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6" xfId="0" applyFont="1" applyBorder="1" applyAlignment="1">
      <alignment horizontal="right" vertical="top"/>
    </xf>
    <xf numFmtId="41" fontId="5" fillId="0" borderId="6" xfId="0" applyNumberFormat="1" applyFont="1" applyFill="1" applyBorder="1" applyAlignment="1">
      <alignment horizontal="center" vertical="top" wrapText="1"/>
    </xf>
    <xf numFmtId="41" fontId="4" fillId="9" borderId="6" xfId="0" applyNumberFormat="1" applyFont="1" applyFill="1" applyBorder="1" applyAlignment="1">
      <alignment horizontal="center" vertical="top"/>
    </xf>
    <xf numFmtId="14" fontId="5" fillId="0" borderId="6" xfId="0" applyNumberFormat="1" applyFont="1" applyFill="1" applyBorder="1" applyAlignment="1">
      <alignment horizontal="center" vertical="top"/>
    </xf>
    <xf numFmtId="0" fontId="5" fillId="2" borderId="6" xfId="0" applyFont="1" applyFill="1" applyBorder="1" applyAlignment="1">
      <alignment horizontal="center" vertical="top"/>
    </xf>
    <xf numFmtId="0" fontId="5" fillId="11" borderId="6" xfId="0" applyFont="1" applyFill="1" applyBorder="1" applyAlignment="1">
      <alignment vertical="top" wrapText="1"/>
    </xf>
    <xf numFmtId="0" fontId="5" fillId="11" borderId="6" xfId="0" applyFont="1" applyFill="1" applyBorder="1" applyAlignment="1">
      <alignment vertical="top"/>
    </xf>
    <xf numFmtId="0" fontId="5" fillId="11" borderId="6" xfId="0" applyFont="1" applyFill="1" applyBorder="1" applyAlignment="1">
      <alignment horizontal="center" vertical="top"/>
    </xf>
    <xf numFmtId="0" fontId="5" fillId="11" borderId="6" xfId="0" applyFont="1" applyFill="1" applyBorder="1" applyAlignment="1">
      <alignment horizontal="center" vertical="top" wrapText="1"/>
    </xf>
    <xf numFmtId="14" fontId="12" fillId="0" borderId="6" xfId="4" applyNumberFormat="1" applyBorder="1" applyAlignment="1">
      <alignment horizontal="center" vertical="top"/>
    </xf>
    <xf numFmtId="14" fontId="5" fillId="0" borderId="6" xfId="0" applyNumberFormat="1" applyFont="1" applyBorder="1" applyAlignment="1">
      <alignment horizontal="center" vertical="top" wrapText="1"/>
    </xf>
    <xf numFmtId="41" fontId="5" fillId="9" borderId="6" xfId="0" quotePrefix="1" applyNumberFormat="1" applyFont="1" applyFill="1" applyBorder="1" applyAlignment="1">
      <alignment horizontal="center" vertical="top"/>
    </xf>
    <xf numFmtId="166" fontId="5" fillId="0" borderId="0" xfId="0" applyNumberFormat="1" applyFont="1" applyAlignment="1">
      <alignment vertical="top"/>
    </xf>
    <xf numFmtId="44" fontId="5" fillId="0" borderId="0" xfId="6" applyFont="1" applyAlignment="1">
      <alignment vertical="top"/>
    </xf>
    <xf numFmtId="0" fontId="4" fillId="0" borderId="6" xfId="0" applyFont="1" applyFill="1" applyBorder="1" applyAlignment="1">
      <alignment horizontal="left" vertical="top" wrapText="1"/>
    </xf>
    <xf numFmtId="3" fontId="5" fillId="0" borderId="6" xfId="0" applyNumberFormat="1" applyFont="1" applyBorder="1" applyAlignment="1">
      <alignment horizontal="right" vertical="top"/>
    </xf>
    <xf numFmtId="0" fontId="9" fillId="0" borderId="6" xfId="0" applyFont="1" applyFill="1" applyBorder="1" applyAlignment="1">
      <alignment horizontal="left" vertical="top"/>
    </xf>
    <xf numFmtId="0" fontId="2" fillId="0" borderId="6" xfId="0" applyFont="1" applyFill="1" applyBorder="1" applyAlignment="1">
      <alignment horizontal="center" vertical="top" wrapText="1"/>
    </xf>
    <xf numFmtId="14" fontId="2" fillId="0" borderId="6" xfId="0" applyNumberFormat="1" applyFont="1" applyFill="1" applyBorder="1" applyAlignment="1">
      <alignment horizontal="center" vertical="top" wrapText="1"/>
    </xf>
    <xf numFmtId="41" fontId="2" fillId="0" borderId="6" xfId="0" applyNumberFormat="1" applyFont="1" applyFill="1" applyBorder="1" applyAlignment="1">
      <alignment horizontal="center" vertical="top" wrapText="1"/>
    </xf>
    <xf numFmtId="5" fontId="2" fillId="0" borderId="6"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41" fontId="6" fillId="0" borderId="6" xfId="0" applyNumberFormat="1" applyFont="1" applyFill="1" applyBorder="1" applyAlignment="1">
      <alignment horizontal="center" vertical="top" wrapText="1"/>
    </xf>
    <xf numFmtId="41" fontId="3" fillId="0" borderId="6" xfId="0" applyNumberFormat="1" applyFont="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7" xfId="0" applyNumberFormat="1" applyFont="1" applyFill="1" applyBorder="1" applyAlignment="1">
      <alignment horizontal="center" vertical="top"/>
    </xf>
    <xf numFmtId="0" fontId="5" fillId="0" borderId="7" xfId="0" applyFont="1" applyBorder="1" applyAlignment="1">
      <alignment horizontal="center" vertical="top" wrapText="1"/>
    </xf>
    <xf numFmtId="14" fontId="5" fillId="0" borderId="7" xfId="0" applyNumberFormat="1" applyFont="1" applyBorder="1" applyAlignment="1">
      <alignment horizontal="center" vertical="top" wrapText="1"/>
    </xf>
    <xf numFmtId="0" fontId="5" fillId="0" borderId="6" xfId="0" applyFont="1" applyFill="1" applyBorder="1" applyAlignment="1">
      <alignment horizontal="center" vertical="top"/>
    </xf>
    <xf numFmtId="164" fontId="5" fillId="0" borderId="7" xfId="0" applyNumberFormat="1" applyFont="1" applyFill="1" applyBorder="1" applyAlignment="1">
      <alignment horizontal="left" vertical="top" wrapText="1"/>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14" fontId="5" fillId="0" borderId="5" xfId="0" applyNumberFormat="1" applyFont="1" applyBorder="1" applyAlignment="1">
      <alignment horizontal="center" vertical="top" wrapText="1"/>
    </xf>
    <xf numFmtId="14" fontId="12" fillId="0" borderId="5" xfId="4" applyNumberFormat="1" applyBorder="1" applyAlignment="1">
      <alignment horizontal="center" vertical="top"/>
    </xf>
    <xf numFmtId="41" fontId="5" fillId="0" borderId="5" xfId="0" applyNumberFormat="1" applyFont="1" applyFill="1" applyBorder="1" applyAlignment="1">
      <alignment vertical="top"/>
    </xf>
    <xf numFmtId="0" fontId="5" fillId="0" borderId="6" xfId="0" applyFont="1" applyFill="1" applyBorder="1" applyAlignment="1">
      <alignment horizontal="right"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3" fontId="5" fillId="0" borderId="0" xfId="0" applyNumberFormat="1" applyFont="1" applyAlignment="1">
      <alignment vertical="top"/>
    </xf>
    <xf numFmtId="0" fontId="5" fillId="0" borderId="6" xfId="0" applyFont="1" applyFill="1" applyBorder="1" applyAlignment="1">
      <alignment vertical="top"/>
    </xf>
    <xf numFmtId="5"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41" fontId="5" fillId="0" borderId="6" xfId="0" applyNumberFormat="1" applyFont="1" applyBorder="1" applyAlignment="1">
      <alignment vertical="top"/>
    </xf>
    <xf numFmtId="167" fontId="4" fillId="9" borderId="6" xfId="0" applyNumberFormat="1" applyFont="1" applyFill="1" applyBorder="1" applyAlignment="1">
      <alignment horizontal="center" vertical="top"/>
    </xf>
    <xf numFmtId="0" fontId="5" fillId="0" borderId="6" xfId="0" applyFont="1" applyFill="1" applyBorder="1" applyAlignment="1">
      <alignment horizontal="center" vertical="top" wrapText="1"/>
    </xf>
    <xf numFmtId="14" fontId="5" fillId="0" borderId="6" xfId="0" applyNumberFormat="1" applyFont="1" applyFill="1" applyBorder="1" applyAlignment="1">
      <alignment horizontal="center" vertical="top" wrapText="1"/>
    </xf>
    <xf numFmtId="41" fontId="13" fillId="0" borderId="6" xfId="0" applyNumberFormat="1" applyFont="1" applyBorder="1" applyAlignment="1">
      <alignment horizontal="left" vertical="top" wrapText="1"/>
    </xf>
    <xf numFmtId="41" fontId="5" fillId="7" borderId="6" xfId="0" applyNumberFormat="1" applyFont="1" applyFill="1" applyBorder="1" applyAlignment="1">
      <alignment horizontal="center" vertical="top" wrapText="1"/>
    </xf>
    <xf numFmtId="0" fontId="5" fillId="0" borderId="0" xfId="0" applyFont="1" applyFill="1" applyAlignment="1">
      <alignment vertical="top" wrapText="1"/>
    </xf>
    <xf numFmtId="0" fontId="5" fillId="0" borderId="6" xfId="0" applyFont="1" applyFill="1" applyBorder="1" applyAlignment="1">
      <alignment horizontal="right" vertical="top" wrapText="1"/>
    </xf>
    <xf numFmtId="14" fontId="12" fillId="0" borderId="6" xfId="4" applyNumberFormat="1" applyFill="1" applyBorder="1" applyAlignment="1">
      <alignment horizontal="center" vertical="top"/>
    </xf>
    <xf numFmtId="164" fontId="13" fillId="0" borderId="6" xfId="0" applyNumberFormat="1" applyFont="1" applyFill="1" applyBorder="1" applyAlignment="1">
      <alignment horizontal="left" vertical="top" wrapText="1"/>
    </xf>
    <xf numFmtId="14" fontId="10" fillId="0" borderId="6" xfId="2" applyNumberFormat="1" applyFill="1" applyBorder="1" applyAlignment="1">
      <alignment horizontal="center" vertical="top"/>
    </xf>
    <xf numFmtId="14" fontId="0" fillId="0" borderId="6" xfId="0" applyNumberFormat="1" applyFill="1" applyBorder="1" applyAlignment="1">
      <alignment horizontal="center" vertical="top"/>
    </xf>
    <xf numFmtId="0" fontId="12" fillId="0" borderId="6" xfId="4" applyFill="1" applyBorder="1" applyAlignment="1">
      <alignment horizontal="center" vertical="top"/>
    </xf>
    <xf numFmtId="0" fontId="5" fillId="0" borderId="1" xfId="0" applyFont="1" applyFill="1" applyBorder="1" applyAlignment="1">
      <alignment horizontal="center" vertical="top"/>
    </xf>
    <xf numFmtId="0" fontId="5" fillId="0" borderId="1" xfId="0" applyFont="1" applyFill="1" applyBorder="1" applyAlignment="1">
      <alignment horizontal="right" vertical="top" wrapText="1"/>
    </xf>
    <xf numFmtId="164" fontId="5" fillId="0" borderId="1" xfId="0" applyNumberFormat="1" applyFont="1" applyFill="1" applyBorder="1" applyAlignment="1">
      <alignment horizontal="left" vertical="top" wrapText="1"/>
    </xf>
    <xf numFmtId="41" fontId="5" fillId="0" borderId="1" xfId="0" applyNumberFormat="1" applyFont="1" applyBorder="1" applyAlignment="1">
      <alignment horizontal="center" vertical="top"/>
    </xf>
    <xf numFmtId="41" fontId="5" fillId="9" borderId="1" xfId="0" applyNumberFormat="1" applyFont="1" applyFill="1" applyBorder="1" applyAlignment="1">
      <alignment horizontal="center" vertical="top"/>
    </xf>
    <xf numFmtId="41" fontId="4" fillId="6" borderId="1" xfId="0" applyNumberFormat="1" applyFont="1" applyFill="1" applyBorder="1" applyAlignment="1">
      <alignment horizontal="center" vertical="top"/>
    </xf>
    <xf numFmtId="0" fontId="5" fillId="0" borderId="1" xfId="8" applyFont="1" applyBorder="1" applyAlignment="1">
      <alignment horizontal="center" vertical="top"/>
    </xf>
    <xf numFmtId="0" fontId="5" fillId="0" borderId="1" xfId="8" applyFont="1" applyAlignment="1"/>
    <xf numFmtId="14" fontId="5" fillId="0" borderId="1" xfId="8" applyNumberFormat="1" applyFont="1" applyBorder="1" applyAlignment="1">
      <alignment horizontal="center" vertical="top"/>
    </xf>
    <xf numFmtId="41" fontId="5" fillId="0" borderId="1" xfId="8" applyNumberFormat="1" applyFont="1" applyFill="1" applyBorder="1" applyAlignment="1">
      <alignment horizontal="center" vertical="top"/>
    </xf>
    <xf numFmtId="0" fontId="5" fillId="0" borderId="1" xfId="8" applyFont="1" applyFill="1" applyBorder="1" applyAlignment="1">
      <alignment horizontal="center" vertical="top"/>
    </xf>
    <xf numFmtId="0" fontId="5" fillId="0" borderId="1" xfId="8" applyFont="1" applyFill="1" applyBorder="1" applyAlignment="1">
      <alignment horizontal="right" vertical="top" wrapText="1"/>
    </xf>
    <xf numFmtId="5" fontId="5" fillId="0" borderId="1" xfId="8" applyNumberFormat="1" applyFont="1" applyFill="1" applyBorder="1" applyAlignment="1">
      <alignment horizontal="center" vertical="top" wrapText="1"/>
    </xf>
    <xf numFmtId="164" fontId="13" fillId="0" borderId="1" xfId="8" applyNumberFormat="1" applyFont="1" applyFill="1" applyBorder="1" applyAlignment="1">
      <alignment horizontal="left" vertical="top" wrapText="1"/>
    </xf>
    <xf numFmtId="41" fontId="5" fillId="0" borderId="1" xfId="8" applyNumberFormat="1" applyFont="1" applyBorder="1" applyAlignment="1">
      <alignment horizontal="center" vertical="top"/>
    </xf>
    <xf numFmtId="41" fontId="5" fillId="7" borderId="1" xfId="8" applyNumberFormat="1" applyFont="1" applyFill="1" applyBorder="1" applyAlignment="1">
      <alignment horizontal="center" vertical="top"/>
    </xf>
    <xf numFmtId="41" fontId="4" fillId="9" borderId="1" xfId="8" applyNumberFormat="1" applyFont="1" applyFill="1" applyBorder="1" applyAlignment="1">
      <alignment horizontal="center" vertical="top"/>
    </xf>
    <xf numFmtId="41" fontId="5" fillId="9" borderId="1" xfId="8"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left" vertical="top"/>
    </xf>
    <xf numFmtId="0" fontId="5" fillId="0" borderId="1" xfId="8" applyFont="1" applyFill="1" applyBorder="1" applyAlignment="1">
      <alignment vertical="top" wrapText="1"/>
    </xf>
    <xf numFmtId="0" fontId="5" fillId="0" borderId="1" xfId="8" applyFont="1" applyFill="1" applyBorder="1" applyAlignment="1">
      <alignment vertical="top"/>
    </xf>
    <xf numFmtId="0" fontId="5" fillId="0" borderId="1" xfId="8"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1" fontId="1" fillId="3" borderId="2" xfId="0" applyNumberFormat="1" applyFont="1" applyFill="1" applyBorder="1" applyAlignment="1">
      <alignment horizontal="centerContinuous"/>
    </xf>
    <xf numFmtId="14" fontId="12" fillId="0" borderId="6" xfId="4" applyNumberFormat="1" applyBorder="1" applyAlignment="1">
      <alignment horizontal="center" vertical="top"/>
    </xf>
    <xf numFmtId="5"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9" borderId="6" xfId="0" applyNumberFormat="1" applyFont="1" applyFill="1" applyBorder="1" applyAlignment="1">
      <alignment horizontal="center" vertical="top"/>
    </xf>
    <xf numFmtId="14" fontId="12" fillId="0" borderId="6" xfId="4" applyNumberFormat="1" applyBorder="1" applyAlignment="1">
      <alignment horizontal="center" vertical="top"/>
    </xf>
    <xf numFmtId="37"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center"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6" xfId="0" applyFont="1" applyFill="1" applyBorder="1" applyAlignment="1">
      <alignment vertical="top" wrapText="1"/>
    </xf>
    <xf numFmtId="0" fontId="5" fillId="11" borderId="0" xfId="0" applyFont="1" applyFill="1" applyAlignment="1"/>
    <xf numFmtId="41" fontId="5" fillId="0" borderId="6" xfId="0" applyNumberFormat="1" applyFont="1" applyBorder="1" applyAlignment="1">
      <alignment horizontal="center" vertical="top"/>
    </xf>
    <xf numFmtId="14" fontId="5" fillId="0" borderId="1" xfId="0" applyNumberFormat="1" applyFont="1" applyBorder="1" applyAlignment="1">
      <alignment horizontal="center" vertical="top" wrapText="1"/>
    </xf>
    <xf numFmtId="41" fontId="5" fillId="0" borderId="1" xfId="0" applyNumberFormat="1" applyFont="1" applyFill="1" applyBorder="1" applyAlignment="1">
      <alignment vertical="top"/>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12" borderId="6" xfId="0" applyFont="1" applyFill="1" applyBorder="1" applyAlignment="1">
      <alignment horizontal="center" vertical="top"/>
    </xf>
    <xf numFmtId="41" fontId="3" fillId="0" borderId="1" xfId="0" applyNumberFormat="1" applyFont="1" applyFill="1" applyBorder="1" applyAlignment="1">
      <alignment horizontal="center" wrapText="1"/>
    </xf>
    <xf numFmtId="14" fontId="10" fillId="0" borderId="5" xfId="2" applyNumberFormat="1" applyFill="1" applyBorder="1" applyAlignment="1">
      <alignment horizontal="center" vertical="top"/>
    </xf>
    <xf numFmtId="14" fontId="12" fillId="0" borderId="7" xfId="4" applyNumberFormat="1" applyFill="1" applyBorder="1" applyAlignment="1">
      <alignment horizontal="center" vertical="top"/>
    </xf>
    <xf numFmtId="14" fontId="12" fillId="0" borderId="5" xfId="4" applyNumberFormat="1" applyFill="1" applyBorder="1" applyAlignment="1">
      <alignment horizontal="center" vertical="top"/>
    </xf>
    <xf numFmtId="14" fontId="12" fillId="0" borderId="1" xfId="4" applyNumberFormat="1" applyFill="1" applyBorder="1" applyAlignment="1">
      <alignment horizontal="center" vertical="top"/>
    </xf>
    <xf numFmtId="41" fontId="5" fillId="3" borderId="6" xfId="0" applyNumberFormat="1" applyFont="1" applyFill="1" applyBorder="1" applyAlignment="1">
      <alignment horizontal="center" vertical="top"/>
    </xf>
    <xf numFmtId="41" fontId="17" fillId="0" borderId="1" xfId="0" applyNumberFormat="1" applyFont="1" applyFill="1" applyBorder="1" applyAlignment="1">
      <alignment horizontal="center" wrapText="1"/>
    </xf>
    <xf numFmtId="41" fontId="18" fillId="0" borderId="6" xfId="0" applyNumberFormat="1" applyFont="1" applyFill="1" applyBorder="1" applyAlignment="1">
      <alignment horizontal="center" vertical="top" wrapText="1"/>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0" fillId="0" borderId="6" xfId="0" applyFill="1" applyBorder="1" applyAlignment="1">
      <alignment vertical="top" wrapText="1"/>
    </xf>
    <xf numFmtId="14" fontId="12" fillId="0" borderId="6" xfId="4" applyNumberForma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0" fontId="9" fillId="0" borderId="6" xfId="0" applyFont="1" applyFill="1" applyBorder="1" applyAlignment="1">
      <alignment horizontal="left"/>
    </xf>
    <xf numFmtId="0" fontId="2" fillId="0" borderId="6" xfId="0" applyFont="1" applyFill="1" applyBorder="1" applyAlignment="1">
      <alignment horizontal="center" wrapText="1"/>
    </xf>
    <xf numFmtId="0" fontId="5" fillId="0" borderId="6" xfId="0" applyFont="1" applyBorder="1" applyAlignment="1">
      <alignment horizontal="center"/>
    </xf>
    <xf numFmtId="14" fontId="5" fillId="0" borderId="6" xfId="0" applyNumberFormat="1" applyFont="1" applyBorder="1" applyAlignment="1">
      <alignment horizontal="center"/>
    </xf>
    <xf numFmtId="41" fontId="2" fillId="0" borderId="6" xfId="0" applyNumberFormat="1" applyFont="1" applyFill="1" applyBorder="1" applyAlignment="1">
      <alignment horizontal="center" wrapText="1"/>
    </xf>
    <xf numFmtId="14" fontId="2" fillId="0" borderId="6" xfId="0" applyNumberFormat="1" applyFont="1" applyFill="1" applyBorder="1" applyAlignment="1">
      <alignment horizontal="center" wrapText="1"/>
    </xf>
    <xf numFmtId="14" fontId="5" fillId="0" borderId="6" xfId="0" applyNumberFormat="1" applyFont="1" applyFill="1" applyBorder="1" applyAlignment="1">
      <alignment horizontal="center"/>
    </xf>
    <xf numFmtId="5" fontId="2" fillId="0" borderId="6" xfId="0" applyNumberFormat="1" applyFont="1" applyFill="1" applyBorder="1" applyAlignment="1">
      <alignment horizontal="center" wrapText="1"/>
    </xf>
    <xf numFmtId="0" fontId="2" fillId="0" borderId="6" xfId="0" applyFont="1" applyFill="1" applyBorder="1" applyAlignment="1">
      <alignment horizontal="left" wrapText="1"/>
    </xf>
    <xf numFmtId="41" fontId="18" fillId="0" borderId="6" xfId="0" applyNumberFormat="1" applyFont="1" applyFill="1" applyBorder="1" applyAlignment="1">
      <alignment horizontal="center" wrapText="1"/>
    </xf>
    <xf numFmtId="41" fontId="6" fillId="0" borderId="6" xfId="0" applyNumberFormat="1" applyFont="1" applyFill="1" applyBorder="1" applyAlignment="1">
      <alignment horizontal="center" wrapText="1"/>
    </xf>
    <xf numFmtId="41" fontId="3" fillId="0" borderId="6" xfId="0" applyNumberFormat="1" applyFont="1" applyFill="1" applyBorder="1" applyAlignment="1">
      <alignment horizontal="center" wrapText="1"/>
    </xf>
    <xf numFmtId="0" fontId="5" fillId="0" borderId="0" xfId="0" applyFont="1" applyFill="1" applyAlignment="1"/>
    <xf numFmtId="0" fontId="0" fillId="0" borderId="0" xfId="0" applyFill="1" applyAlignment="1"/>
    <xf numFmtId="41" fontId="5" fillId="9" borderId="6" xfId="0" applyNumberFormat="1" applyFont="1" applyFill="1" applyBorder="1" applyAlignment="1">
      <alignment horizontal="center" vertical="top"/>
    </xf>
    <xf numFmtId="14" fontId="10" fillId="0" borderId="1" xfId="4"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7" xfId="0" applyNumberFormat="1" applyFont="1" applyBorder="1" applyAlignment="1">
      <alignment horizontal="center" vertical="top"/>
    </xf>
    <xf numFmtId="41" fontId="5" fillId="0" borderId="5" xfId="0" applyNumberFormat="1" applyFont="1" applyBorder="1" applyAlignment="1">
      <alignment horizontal="center" vertical="top"/>
    </xf>
    <xf numFmtId="41" fontId="5" fillId="0" borderId="5" xfId="0" applyNumberFormat="1" applyFont="1" applyFill="1" applyBorder="1" applyAlignment="1">
      <alignment horizontal="center" vertical="top"/>
    </xf>
    <xf numFmtId="14" fontId="12" fillId="0" borderId="1" xfId="4" applyNumberFormat="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6" xfId="0" applyFont="1" applyFill="1" applyBorder="1" applyAlignment="1">
      <alignment vertical="top" wrapText="1"/>
    </xf>
    <xf numFmtId="41" fontId="5" fillId="0" borderId="6" xfId="0" applyNumberFormat="1" applyFont="1" applyFill="1" applyBorder="1" applyAlignment="1">
      <alignment horizontal="center" vertical="top"/>
    </xf>
    <xf numFmtId="41" fontId="5" fillId="0" borderId="1" xfId="0" applyNumberFormat="1"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Fill="1" applyBorder="1" applyAlignment="1">
      <alignment vertical="top" wrapText="1"/>
    </xf>
    <xf numFmtId="168" fontId="6" fillId="0" borderId="6" xfId="9" applyNumberFormat="1" applyFont="1" applyFill="1" applyBorder="1" applyAlignment="1">
      <alignment horizontal="center" vertical="top" wrapText="1"/>
    </xf>
    <xf numFmtId="41" fontId="5" fillId="13"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0" fontId="5" fillId="0" borderId="1" xfId="0" applyFont="1" applyBorder="1" applyAlignment="1">
      <alignment vertical="top"/>
    </xf>
    <xf numFmtId="0" fontId="5" fillId="0" borderId="5" xfId="0" applyFont="1" applyBorder="1" applyAlignment="1">
      <alignment vertical="top"/>
    </xf>
    <xf numFmtId="5" fontId="5" fillId="0" borderId="1" xfId="0" applyNumberFormat="1" applyFont="1" applyFill="1" applyBorder="1" applyAlignment="1">
      <alignment horizontal="center" vertical="top" wrapText="1"/>
    </xf>
    <xf numFmtId="5" fontId="5" fillId="0" borderId="5" xfId="0" applyNumberFormat="1" applyFont="1" applyFill="1" applyBorder="1" applyAlignment="1">
      <alignment horizontal="center" vertical="top" wrapText="1"/>
    </xf>
    <xf numFmtId="41" fontId="5" fillId="0" borderId="1" xfId="0" applyNumberFormat="1" applyFont="1" applyBorder="1" applyAlignment="1">
      <alignment horizontal="center" vertical="top"/>
    </xf>
    <xf numFmtId="41" fontId="5" fillId="0" borderId="5" xfId="0" applyNumberFormat="1" applyFont="1" applyBorder="1" applyAlignment="1">
      <alignment horizontal="center" vertical="top"/>
    </xf>
    <xf numFmtId="41" fontId="5" fillId="0" borderId="1"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41" fontId="5" fillId="3" borderId="5"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0" fillId="0" borderId="0" xfId="0" applyNumberFormat="1" applyFill="1" applyAlignment="1">
      <alignment vertical="center" wrapText="1"/>
    </xf>
    <xf numFmtId="41" fontId="4" fillId="6" borderId="5"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1" xfId="0" applyNumberFormat="1" applyFont="1" applyFill="1" applyBorder="1" applyAlignment="1">
      <alignment vertical="top"/>
    </xf>
    <xf numFmtId="41" fontId="5" fillId="9" borderId="5" xfId="0" applyNumberFormat="1" applyFont="1" applyFill="1" applyBorder="1" applyAlignment="1">
      <alignment vertical="top"/>
    </xf>
    <xf numFmtId="41" fontId="5" fillId="9" borderId="5"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vertical="top"/>
    </xf>
    <xf numFmtId="0" fontId="1" fillId="0" borderId="4" xfId="0" applyFont="1" applyBorder="1" applyAlignment="1">
      <alignment horizontal="center" wrapText="1"/>
    </xf>
    <xf numFmtId="41" fontId="1" fillId="7" borderId="2" xfId="0" applyNumberFormat="1" applyFont="1" applyFill="1" applyBorder="1" applyAlignment="1">
      <alignment horizontal="center" wrapText="1"/>
    </xf>
    <xf numFmtId="41" fontId="1" fillId="7" borderId="2" xfId="0" applyNumberFormat="1" applyFont="1" applyFill="1" applyBorder="1" applyAlignment="1">
      <alignment wrapText="1"/>
    </xf>
    <xf numFmtId="0" fontId="1" fillId="7" borderId="2" xfId="0" applyFont="1" applyFill="1" applyBorder="1" applyAlignment="1">
      <alignment wrapText="1"/>
    </xf>
    <xf numFmtId="41" fontId="1" fillId="4" borderId="2" xfId="0" applyNumberFormat="1" applyFont="1" applyFill="1" applyBorder="1" applyAlignment="1">
      <alignment horizontal="center" wrapText="1"/>
    </xf>
    <xf numFmtId="41" fontId="0" fillId="4" borderId="2" xfId="0" applyNumberFormat="1" applyFill="1" applyBorder="1" applyAlignment="1">
      <alignment wrapText="1"/>
    </xf>
    <xf numFmtId="0" fontId="0" fillId="4" borderId="2" xfId="0" applyFill="1" applyBorder="1" applyAlignment="1">
      <alignment wrapText="1"/>
    </xf>
    <xf numFmtId="14" fontId="12" fillId="0" borderId="6" xfId="4" applyNumberFormat="1" applyBorder="1" applyAlignment="1">
      <alignment horizontal="center" vertical="top"/>
    </xf>
    <xf numFmtId="0" fontId="5" fillId="0" borderId="6" xfId="0" applyFont="1" applyFill="1" applyBorder="1" applyAlignment="1">
      <alignment horizontal="center" vertical="top"/>
    </xf>
    <xf numFmtId="0" fontId="5" fillId="0" borderId="6" xfId="0" applyFont="1" applyBorder="1" applyAlignment="1">
      <alignment horizontal="right"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quotePrefix="1" applyNumberFormat="1" applyFont="1" applyFill="1" applyBorder="1" applyAlignment="1">
      <alignment horizontal="center" vertical="top"/>
    </xf>
    <xf numFmtId="167" fontId="5" fillId="7" borderId="6" xfId="0" applyNumberFormat="1" applyFont="1" applyFill="1" applyBorder="1" applyAlignment="1">
      <alignment horizontal="center" vertical="top"/>
    </xf>
    <xf numFmtId="14" fontId="10" fillId="0" borderId="6" xfId="2" applyNumberFormat="1" applyBorder="1" applyAlignment="1">
      <alignment horizontal="center" vertical="top"/>
    </xf>
    <xf numFmtId="14" fontId="10" fillId="0" borderId="7" xfId="2" applyNumberFormat="1" applyBorder="1" applyAlignment="1">
      <alignment horizontal="center" vertical="top"/>
    </xf>
    <xf numFmtId="41" fontId="5" fillId="9" borderId="7" xfId="0" quotePrefix="1" applyNumberFormat="1" applyFont="1" applyFill="1" applyBorder="1" applyAlignment="1">
      <alignment horizontal="center" vertical="top"/>
    </xf>
    <xf numFmtId="41" fontId="5" fillId="9" borderId="7" xfId="0" applyNumberFormat="1" applyFont="1" applyFill="1" applyBorder="1" applyAlignment="1">
      <alignment horizontal="center" vertical="top"/>
    </xf>
    <xf numFmtId="41" fontId="4" fillId="4" borderId="7" xfId="0" applyNumberFormat="1" applyFont="1" applyFill="1" applyBorder="1" applyAlignment="1">
      <alignment horizontal="center" vertical="top"/>
    </xf>
    <xf numFmtId="41" fontId="5" fillId="3" borderId="1" xfId="0" applyNumberFormat="1" applyFont="1" applyFill="1" applyBorder="1" applyAlignment="1">
      <alignment horizontal="center" vertical="top"/>
    </xf>
    <xf numFmtId="41" fontId="5" fillId="9" borderId="1" xfId="0" quotePrefix="1" applyNumberFormat="1" applyFont="1" applyFill="1" applyBorder="1" applyAlignment="1">
      <alignment vertical="top"/>
    </xf>
    <xf numFmtId="41" fontId="5" fillId="9" borderId="5" xfId="0" quotePrefix="1" applyNumberFormat="1" applyFont="1" applyFill="1" applyBorder="1" applyAlignment="1">
      <alignment vertical="top"/>
    </xf>
    <xf numFmtId="41" fontId="5" fillId="9"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1" xfId="0" applyFont="1" applyFill="1" applyBorder="1" applyAlignment="1">
      <alignment horizontal="center" vertical="top"/>
    </xf>
    <xf numFmtId="0" fontId="5" fillId="0" borderId="5" xfId="0" applyFont="1" applyFill="1" applyBorder="1" applyAlignment="1">
      <alignment horizontal="center" vertical="top"/>
    </xf>
    <xf numFmtId="0" fontId="5" fillId="0" borderId="1" xfId="0" applyFont="1" applyBorder="1" applyAlignment="1">
      <alignment horizontal="right" vertical="top"/>
    </xf>
    <xf numFmtId="0" fontId="5" fillId="0" borderId="5" xfId="0" applyFont="1" applyBorder="1" applyAlignment="1">
      <alignment horizontal="right" vertical="top"/>
    </xf>
    <xf numFmtId="164" fontId="5" fillId="0" borderId="1" xfId="0" applyNumberFormat="1" applyFont="1" applyFill="1" applyBorder="1" applyAlignment="1">
      <alignment horizontal="left" vertical="top" wrapText="1"/>
    </xf>
    <xf numFmtId="164" fontId="5" fillId="0" borderId="5" xfId="0" applyNumberFormat="1"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center" vertical="top"/>
    </xf>
    <xf numFmtId="0" fontId="5" fillId="0" borderId="7" xfId="0" applyFont="1" applyBorder="1" applyAlignment="1">
      <alignment horizontal="right" vertical="top"/>
    </xf>
    <xf numFmtId="5" fontId="5" fillId="0" borderId="7" xfId="0" applyNumberFormat="1" applyFont="1" applyFill="1" applyBorder="1" applyAlignment="1">
      <alignment horizontal="center" vertical="top" wrapText="1"/>
    </xf>
    <xf numFmtId="41" fontId="5" fillId="0" borderId="7" xfId="0" applyNumberFormat="1" applyFont="1" applyBorder="1" applyAlignment="1">
      <alignment horizontal="center" vertical="top"/>
    </xf>
    <xf numFmtId="41" fontId="5" fillId="0" borderId="7" xfId="0" applyNumberFormat="1" applyFont="1" applyFill="1" applyBorder="1" applyAlignment="1">
      <alignment horizontal="center" vertical="top"/>
    </xf>
    <xf numFmtId="41" fontId="5" fillId="3" borderId="7" xfId="0" applyNumberFormat="1" applyFont="1" applyFill="1" applyBorder="1" applyAlignment="1">
      <alignment horizontal="center" vertical="top"/>
    </xf>
    <xf numFmtId="41" fontId="5" fillId="7" borderId="7" xfId="0" applyNumberFormat="1" applyFont="1" applyFill="1" applyBorder="1" applyAlignment="1">
      <alignment horizontal="center" vertical="top"/>
    </xf>
    <xf numFmtId="41" fontId="4" fillId="6" borderId="7"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0" fontId="5" fillId="0" borderId="7" xfId="0" applyFont="1" applyBorder="1" applyAlignment="1">
      <alignment horizontal="center" vertical="top"/>
    </xf>
    <xf numFmtId="14" fontId="5" fillId="0" borderId="6" xfId="0" applyNumberFormat="1" applyFont="1" applyBorder="1" applyAlignment="1">
      <alignment horizontal="center" vertical="top"/>
    </xf>
    <xf numFmtId="14" fontId="5" fillId="0" borderId="7" xfId="0" applyNumberFormat="1" applyFont="1" applyBorder="1" applyAlignment="1">
      <alignment horizontal="center" vertical="top"/>
    </xf>
    <xf numFmtId="41" fontId="4" fillId="6" borderId="1" xfId="0" applyNumberFormat="1" applyFont="1" applyFill="1" applyBorder="1" applyAlignment="1">
      <alignment horizontal="center" vertical="top"/>
    </xf>
    <xf numFmtId="41" fontId="5" fillId="7" borderId="1" xfId="0" applyNumberFormat="1" applyFont="1" applyFill="1" applyBorder="1" applyAlignment="1">
      <alignment vertical="top"/>
    </xf>
    <xf numFmtId="41" fontId="5" fillId="7" borderId="5" xfId="0" applyNumberFormat="1" applyFont="1" applyFill="1" applyBorder="1" applyAlignment="1">
      <alignment vertical="top"/>
    </xf>
    <xf numFmtId="0" fontId="5" fillId="0" borderId="6" xfId="0" applyFont="1" applyFill="1" applyBorder="1" applyAlignment="1">
      <alignment vertical="top" wrapText="1"/>
    </xf>
    <xf numFmtId="0" fontId="5" fillId="0" borderId="7"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5" xfId="0" applyFont="1" applyFill="1" applyBorder="1" applyAlignment="1">
      <alignment horizontal="center" vertical="top" wrapText="1"/>
    </xf>
    <xf numFmtId="41" fontId="5" fillId="7" borderId="6" xfId="0" applyNumberFormat="1" applyFont="1" applyFill="1" applyBorder="1" applyAlignment="1">
      <alignment vertical="top"/>
    </xf>
  </cellXfs>
  <cellStyles count="10">
    <cellStyle name="Comma" xfId="5" builtinId="3"/>
    <cellStyle name="Currency" xfId="6" builtinId="4"/>
    <cellStyle name="Hyperlink" xfId="4" builtinId="8"/>
    <cellStyle name="Hyperlink 2" xfId="2"/>
    <cellStyle name="Hyperlink 3" xfId="1"/>
    <cellStyle name="Normal" xfId="0" builtinId="0"/>
    <cellStyle name="Normal 2" xfId="3"/>
    <cellStyle name="Normal 3" xfId="7"/>
    <cellStyle name="Normal 4" xfId="8"/>
    <cellStyle name="Percent" xfId="9" builtinId="5"/>
  </cellStyles>
  <dxfs count="0"/>
  <tableStyles count="0" defaultTableStyle="TableStyleMedium9" defaultPivotStyle="PivotStyleMedium4"/>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ttanooga.gov/city-council-files/OrdinancesAndResolutions/Resolutions/Resolutions%202002/23253%20Downtown%20Housing%20Initiative%20.doc" TargetMode="External"/><Relationship Id="rId18" Type="http://schemas.openxmlformats.org/officeDocument/2006/relationships/hyperlink" Target="http://www.hamiltontn.gov/pdf/PILOT/CollegedaleResolution293.pdf" TargetMode="External"/><Relationship Id="rId26" Type="http://schemas.openxmlformats.org/officeDocument/2006/relationships/hyperlink" Target="http://resolutions.hamiltontn.gov/resolutions/2008/1008-27.pdf" TargetMode="External"/><Relationship Id="rId39" Type="http://schemas.openxmlformats.org/officeDocument/2006/relationships/hyperlink" Target="http://www.chattanooga.gov/city-council-files/OrdinancesAndResolutions/Resolutions/Resolutions%202015/28302%20PILOT%20NEW%20Gestamp%20North%20America.pdf" TargetMode="External"/><Relationship Id="rId21" Type="http://schemas.openxmlformats.org/officeDocument/2006/relationships/hyperlink" Target="http://resolutions.hamiltontn.gov/resolutions/2014/314-25.pdf" TargetMode="External"/><Relationship Id="rId34" Type="http://schemas.openxmlformats.org/officeDocument/2006/relationships/hyperlink" Target="http://resolutions.hamiltontn.gov/resolutions/2012/1212-21.pdf" TargetMode="External"/><Relationship Id="rId42" Type="http://schemas.openxmlformats.org/officeDocument/2006/relationships/hyperlink" Target="http://resolutions.hamiltontn.gov/resolutions/2015/715-17.pdf" TargetMode="External"/><Relationship Id="rId47" Type="http://schemas.openxmlformats.org/officeDocument/2006/relationships/hyperlink" Target="http://resolutions.hamiltontn.gov/resolutions/2010/710-4.pdf" TargetMode="External"/><Relationship Id="rId50" Type="http://schemas.openxmlformats.org/officeDocument/2006/relationships/hyperlink" Target="http://resolutions.hamiltontn.gov/resolutions/2015/1015-20.pdf" TargetMode="External"/><Relationship Id="rId55" Type="http://schemas.openxmlformats.org/officeDocument/2006/relationships/hyperlink" Target="http://resolutions.hamiltontn.gov/resolutions/2016/1116-3.pdf" TargetMode="External"/><Relationship Id="rId63" Type="http://schemas.openxmlformats.org/officeDocument/2006/relationships/hyperlink" Target="http://www.chattanooga.gov/city-council-files/OrdinancesAndResolutions/Resolutions/Resolutions%202016/28852%20PILOT%20Resolution%20Standard%20Coosa%20Lofts.pdf" TargetMode="External"/><Relationship Id="rId68" Type="http://schemas.openxmlformats.org/officeDocument/2006/relationships/hyperlink" Target="http://resolutions.hamiltontn.gov/resolutions/2015/215-37.pdf" TargetMode="External"/><Relationship Id="rId76" Type="http://schemas.openxmlformats.org/officeDocument/2006/relationships/hyperlink" Target="http://resolutions.hamiltontn.gov/resolutions/2017/1217-30.pdf" TargetMode="External"/><Relationship Id="rId84" Type="http://schemas.openxmlformats.org/officeDocument/2006/relationships/hyperlink" Target="http://resolutions.hamiltontn.gov/resolutions/2019/319-14.pdf" TargetMode="External"/><Relationship Id="rId7" Type="http://schemas.openxmlformats.org/officeDocument/2006/relationships/hyperlink" Target="http://www.chattanooga.gov/city-council-files/OrdinancesAndResolutions/Resolutions/Resolutions%202008/25682%20Auth%20PILOT%20Agmt%20-%20RiverCity%20Company%20-%20Movie%20Theater.pdf" TargetMode="External"/><Relationship Id="rId71" Type="http://schemas.openxmlformats.org/officeDocument/2006/relationships/hyperlink" Target="http://resolutions.hamiltontn.gov/resolutions/2015/815-19.pdf" TargetMode="External"/><Relationship Id="rId2"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16" Type="http://schemas.openxmlformats.org/officeDocument/2006/relationships/hyperlink" Target="http://www.chattanooga.gov/city-council-files/OrdinancesAndResolutions/Resolutions/Resolutions%202012/27336_PILOT_UTC_Two.pdf" TargetMode="External"/><Relationship Id="rId29" Type="http://schemas.openxmlformats.org/officeDocument/2006/relationships/hyperlink" Target="http://resolutions.hamiltontn.gov/resolutions/2014/714-31.pdf" TargetMode="External"/><Relationship Id="rId11" Type="http://schemas.openxmlformats.org/officeDocument/2006/relationships/hyperlink" Target="http://www.chattanooga.gov/city-council-files/OrdinancesAndResolutions/Resolutions/Resolutions%202006/24923%20Auth%20Wrigley%20PILOT%20Agmt%20-%20County%20IDB.DOC" TargetMode="External"/><Relationship Id="rId24" Type="http://schemas.openxmlformats.org/officeDocument/2006/relationships/hyperlink" Target="http://resolutions.hamiltontn.gov/resolutions/2014/614-19.pdf" TargetMode="External"/><Relationship Id="rId32" Type="http://schemas.openxmlformats.org/officeDocument/2006/relationships/hyperlink" Target="http://resolutions.hamiltontn.gov/resolutions/2002/302-41A.pdf" TargetMode="External"/><Relationship Id="rId37" Type="http://schemas.openxmlformats.org/officeDocument/2006/relationships/hyperlink" Target="http://resolutions.hamiltontn.gov/resolutions/2015/515-28.pdf" TargetMode="External"/><Relationship Id="rId40" Type="http://schemas.openxmlformats.org/officeDocument/2006/relationships/hyperlink" Target="http://resolutions.hamiltontn.gov/resolutions/2015/715-15.pdf" TargetMode="External"/><Relationship Id="rId45" Type="http://schemas.openxmlformats.org/officeDocument/2006/relationships/hyperlink" Target="http://www.chattanooga.gov/city-council-files/OrdinancesAndResolutions/Resolutions/Resolutions%202014/28002%20Van%20De%20Wiele%20project%20payment%20in%20lieu%20of%20taxes.pdf" TargetMode="External"/><Relationship Id="rId53" Type="http://schemas.openxmlformats.org/officeDocument/2006/relationships/hyperlink" Target="http://resolutions.hamiltontn.gov/resolutions/2016/116-27.pdf" TargetMode="External"/><Relationship Id="rId58" Type="http://schemas.openxmlformats.org/officeDocument/2006/relationships/hyperlink" Target="http://resolutions.hamiltontn.gov/resolutions/2010/1210-12.pdf" TargetMode="External"/><Relationship Id="rId66" Type="http://schemas.openxmlformats.org/officeDocument/2006/relationships/hyperlink" Target="http://www.chattanooga.gov/city-council-files/OrdinancesAndResolutions/Resolutions/Resolutions%202017/29035%20PILOT%20HomeServ.pdf" TargetMode="External"/><Relationship Id="rId74" Type="http://schemas.openxmlformats.org/officeDocument/2006/relationships/hyperlink" Target="http://chattanooga.gov/city-council-files/OrdinancesAndResolutions/Resolutions/Resolutions%202018/29336%20Economic%20Impact%20Plan%20ML%20King%20v2.pdf" TargetMode="External"/><Relationship Id="rId79" Type="http://schemas.openxmlformats.org/officeDocument/2006/relationships/hyperlink" Target="http://www.chattanooga.gov/city-council-files/OrdinancesAndResolutions/Resolutions/Resolutions%202018/29634%20PILOT%20-%20Ridgeway%20Apartments.pdf" TargetMode="External"/><Relationship Id="rId87" Type="http://schemas.openxmlformats.org/officeDocument/2006/relationships/hyperlink" Target="http://resolutions.hamiltontn.gov/resolutions/2019/1219-27.pdf" TargetMode="External"/><Relationship Id="rId5" Type="http://schemas.openxmlformats.org/officeDocument/2006/relationships/hyperlink" Target="http://www.chattanooga.gov/city-council-files/OrdinancesAndResolutions/Resolutions/Resolutions%202014/27892%20PILOT%20Plastic%20Omnium.pdf" TargetMode="External"/><Relationship Id="rId61" Type="http://schemas.openxmlformats.org/officeDocument/2006/relationships/hyperlink" Target="http://resolutions.hamiltontn.gov/resolutions/2016/1216-8.pdf" TargetMode="External"/><Relationship Id="rId82" Type="http://schemas.openxmlformats.org/officeDocument/2006/relationships/hyperlink" Target="http://www.chattanooga.gov/city-council-files/OrdinancesAndResolutions/Resolutions/Resolutions%202018/29744%20PILOT%20Patten%20Towers.pdf" TargetMode="External"/><Relationship Id="rId19" Type="http://schemas.openxmlformats.org/officeDocument/2006/relationships/hyperlink" Target="http://resolutions.hamiltontn.gov/resolutions/2006/706-17.pdf" TargetMode="External"/><Relationship Id="rId4" Type="http://schemas.openxmlformats.org/officeDocument/2006/relationships/hyperlink" Target="http://www.chattanooga.gov/city-council-files/OrdinancesAndResolutions/Resolutions/Resolutions%202007/25042%20Auth%20Jarnigan%20Road%20III,%20LLC-EMJ%20Corp-CBL%20Assocs%20Mgmt,%20Inc-PILOT.DOC" TargetMode="External"/><Relationship Id="rId9" Type="http://schemas.openxmlformats.org/officeDocument/2006/relationships/hyperlink" Target="http://www.chattanooga.gov/city-council-files/OrdinancesAndResolutions/Resolutions/Resolutions%202008/25738%20Auth%20PILOT%20Agmt%20-%20Volkswagen.pdf" TargetMode="External"/><Relationship Id="rId14" Type="http://schemas.openxmlformats.org/officeDocument/2006/relationships/hyperlink" Target="http://www.chattanooga.gov/city-council-files/OrdinancesAndResolutions/Resolutions/Resolutions%202002/23253%20Downtown%20Housing%20Initiative%20.doc" TargetMode="External"/><Relationship Id="rId22" Type="http://schemas.openxmlformats.org/officeDocument/2006/relationships/hyperlink" Target="http://resolutions.hamiltontn.gov/resolutions/2010/1210-12.pdf" TargetMode="External"/><Relationship Id="rId27" Type="http://schemas.openxmlformats.org/officeDocument/2006/relationships/hyperlink" Target="http://resolutions.hamiltontn.gov/resolutions/2014/1214-8.pdf" TargetMode="External"/><Relationship Id="rId30" Type="http://schemas.openxmlformats.org/officeDocument/2006/relationships/hyperlink" Target="http://resolutions.hamiltontn.gov/resolutions/2006/1006-36.pdf" TargetMode="External"/><Relationship Id="rId35" Type="http://schemas.openxmlformats.org/officeDocument/2006/relationships/hyperlink" Target="http://resolutions.hamiltontn.gov/resolutions/2012/1212-20.pdf" TargetMode="External"/><Relationship Id="rId43" Type="http://schemas.openxmlformats.org/officeDocument/2006/relationships/hyperlink" Target="http://resolutions.hamiltontn.gov/resolutions/2014/914-31.pdf" TargetMode="External"/><Relationship Id="rId48" Type="http://schemas.openxmlformats.org/officeDocument/2006/relationships/hyperlink" Target="http://resolutions.hamiltontn.gov/resolutions/2008/908-48.pdf" TargetMode="External"/><Relationship Id="rId56" Type="http://schemas.openxmlformats.org/officeDocument/2006/relationships/hyperlink" Target="http://resolutions.hamiltontn.gov/resolutions/2008/308-51.pdf" TargetMode="External"/><Relationship Id="rId64" Type="http://schemas.openxmlformats.org/officeDocument/2006/relationships/hyperlink" Target="http://www.chattanooga.gov/city-council-files/OrdinancesAndResolutions/Resolutions/Resolutions%202005/24361%20Authorize%20BlueCross%20BlueShield%20PILOT%20Agreement.pdf" TargetMode="External"/><Relationship Id="rId69" Type="http://schemas.openxmlformats.org/officeDocument/2006/relationships/hyperlink" Target="http://www.chattanooga.gov/city-council-files/OrdinancesAndResolutions/Resolutions/Resolutions%202015/28139%20PILOT%20UTC%20Five.pdf" TargetMode="External"/><Relationship Id="rId77" Type="http://schemas.openxmlformats.org/officeDocument/2006/relationships/hyperlink" Target="http://www.chattanooga.gov/city-council-files/OrdinancesAndResolutions/Resolutions/Resolutions%202017/29215%20PILOT%20Bayberry%20Apts%20v3.pdf" TargetMode="External"/><Relationship Id="rId8" Type="http://schemas.openxmlformats.org/officeDocument/2006/relationships/hyperlink" Target="http://www.chattanooga.gov/city-council-files/OrdinancesAndResolutions/Resolutions/Resolutions%202014/28072%20PILOT%20Southern%20Champion.pdf" TargetMode="External"/><Relationship Id="rId51" Type="http://schemas.openxmlformats.org/officeDocument/2006/relationships/hyperlink" Target="http://resolutions.hamiltontn.gov/resolutions/2015/1015-54.pdf" TargetMode="External"/><Relationship Id="rId72" Type="http://schemas.openxmlformats.org/officeDocument/2006/relationships/hyperlink" Target="http://resolutions.hamiltontn.gov/resolutions/2012/612-27.pdf" TargetMode="External"/><Relationship Id="rId80" Type="http://schemas.openxmlformats.org/officeDocument/2006/relationships/hyperlink" Target="http://www.chattanooga.gov/city-council-files/OrdinancesAndResolutions/Resolutions/Resolutions%202017/29248%20PILOT%20-%20M_M%20Industries.pdf" TargetMode="External"/><Relationship Id="rId85" Type="http://schemas.openxmlformats.org/officeDocument/2006/relationships/hyperlink" Target="http://www.chattanooga.gov/city-council-files/OrdinancesAndResolutions/Resolutions/Resolutions%202019/29847%20Amend%20PILOT%20for%20Gestamp%20$48%20million.pdf" TargetMode="External"/><Relationship Id="rId3" Type="http://schemas.openxmlformats.org/officeDocument/2006/relationships/hyperlink" Target="http://www.chattanooga.gov/city-council-files/OrdinancesAndResolutions/Resolutions/Resolutions%202010/26356%20Aut%20amendment%20to%20payment%20in%20lieu%20of%20tax%20agreement%20with%20Gestamp.pdf" TargetMode="External"/><Relationship Id="rId12" Type="http://schemas.openxmlformats.org/officeDocument/2006/relationships/hyperlink" Target="http://www.chattanooga.gov/city-council-files/OrdinancesAndResolutions/Resolutions/Resolutions%202010/26441%20Make%20certain%20findings%20relating%20to%20Wm%20Wrigley%20Jr.%20Co.%20Project.pdf" TargetMode="External"/><Relationship Id="rId17" Type="http://schemas.openxmlformats.org/officeDocument/2006/relationships/hyperlink" Target="http://www.chattanooga.gov/city-council-files/OrdinancesAndResolutions/Resolutions/Resolutions%202002/23253%20Downtown%20Housing%20Initiative%20.doc" TargetMode="External"/><Relationship Id="rId25" Type="http://schemas.openxmlformats.org/officeDocument/2006/relationships/hyperlink" Target="http://resolutions.hamiltontn.gov/resolutions/2009/309-37.pdf" TargetMode="External"/><Relationship Id="rId33" Type="http://schemas.openxmlformats.org/officeDocument/2006/relationships/hyperlink" Target="http://resolutions.hamiltontn.gov/resolutions/2002/302-41A.pdf" TargetMode="External"/><Relationship Id="rId38" Type="http://schemas.openxmlformats.org/officeDocument/2006/relationships/hyperlink" Target="http://www.chattanooga.gov/city-council-files/OrdinancesAndResolutions/Resolutions/Resolutions%202015/28301%20PILOT%20Expansion%20Gestamp.pdf" TargetMode="External"/><Relationship Id="rId46" Type="http://schemas.openxmlformats.org/officeDocument/2006/relationships/hyperlink" Target="http://resolutions.hamiltontn.gov/resolutions/2009/1109-52.pdf" TargetMode="External"/><Relationship Id="rId59"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67" Type="http://schemas.openxmlformats.org/officeDocument/2006/relationships/hyperlink" Target="http://resolutions.hamiltontn.gov/resolutions/2017/517-30.pdf" TargetMode="External"/><Relationship Id="rId20" Type="http://schemas.openxmlformats.org/officeDocument/2006/relationships/hyperlink" Target="http://resolutions.hamiltontn.gov/resolutions/2002/302-41A.pdf" TargetMode="External"/><Relationship Id="rId41" Type="http://schemas.openxmlformats.org/officeDocument/2006/relationships/hyperlink" Target="http://resolutions.hamiltontn.gov/resolutions/2015/715-16.pdf" TargetMode="External"/><Relationship Id="rId54" Type="http://schemas.openxmlformats.org/officeDocument/2006/relationships/hyperlink" Target="http://www.chattanooga.gov/city-council-files/OrdinancesAndResolutions/Resolutions/Resolutions%202016/28815%20PILOT-ECG%20Chestnut%20LP.pdf" TargetMode="External"/><Relationship Id="rId62" Type="http://schemas.openxmlformats.org/officeDocument/2006/relationships/hyperlink" Target="http://www.chattanooga.gov/city-council-files/OrdinancesAndResolutions/Resolutions/Resolutions%202016/28835%20PILOT%20Resolution%20Jaycee%20Tower%20City.pdf" TargetMode="External"/><Relationship Id="rId70" Type="http://schemas.openxmlformats.org/officeDocument/2006/relationships/hyperlink" Target="http://www.chattanooga.gov/city-council-files/OrdinancesAndResolutions/Resolutions/Resolutions%202015/28336%20PILOT%20Simpson%20Organization.pdf" TargetMode="External"/><Relationship Id="rId75" Type="http://schemas.openxmlformats.org/officeDocument/2006/relationships/hyperlink" Target="http://www.chattanooga.gov/city-council-files/OrdinancesAndResolutions/Resolutions/Resolutions%202012/27143%20App%20Economic%20Impact%20Plan%20for%20Black%20Creek%20Mountain.pdf" TargetMode="External"/><Relationship Id="rId83" Type="http://schemas.openxmlformats.org/officeDocument/2006/relationships/hyperlink" Target="http://resolutions.hamiltontn.gov/resolutions/2019/119-16.pdf" TargetMode="External"/><Relationship Id="rId88" Type="http://schemas.openxmlformats.org/officeDocument/2006/relationships/printerSettings" Target="../printerSettings/printerSettings1.bin"/><Relationship Id="rId1" Type="http://schemas.openxmlformats.org/officeDocument/2006/relationships/hyperlink" Target="http://www.chattanooga.gov/city-council-files/OrdinancesAndResolutions/Resolutions/Resolutions%202014/27804%20Coca-Cola%20PILOT.pdf" TargetMode="External"/><Relationship Id="rId6" Type="http://schemas.openxmlformats.org/officeDocument/2006/relationships/hyperlink" Target="http://www.chattanooga.gov/city-council-files/OrdinancesAndResolutions/Resolutions/Resolutions%202009/25843%20Auth%20PILOT%20Agmt%20-%20Provident.pdf" TargetMode="External"/><Relationship Id="rId15" Type="http://schemas.openxmlformats.org/officeDocument/2006/relationships/hyperlink" Target="http://www.chattanooga.gov/city-council-files/OrdinancesAndResolutions/Resolutions/Resolutions%202012/27337_PILOT_UTC_Three.pdf" TargetMode="External"/><Relationship Id="rId23" Type="http://schemas.openxmlformats.org/officeDocument/2006/relationships/hyperlink" Target="http://resolutions.hamiltontn.gov/resolutions/2007/207-26.pdf" TargetMode="External"/><Relationship Id="rId28" Type="http://schemas.openxmlformats.org/officeDocument/2006/relationships/hyperlink" Target="http://resolutions.hamiltontn.gov/resolutions/2008/1108-43.pdf" TargetMode="External"/><Relationship Id="rId36" Type="http://schemas.openxmlformats.org/officeDocument/2006/relationships/hyperlink" Target="http://www.chattanooga.gov/city-council-files/OrdinancesAndResolutions/Resolutions/Resolutions%202015/28233%20PILOT%20Heritage-Maclellan.pdf" TargetMode="External"/><Relationship Id="rId49" Type="http://schemas.openxmlformats.org/officeDocument/2006/relationships/hyperlink" Target="http://www.chattanooga.gov/city-council-files/OrdinancesAndResolutions/Resolutions/Resolutions%202015/28424%20PILOT%20Gestamp.pdf" TargetMode="External"/><Relationship Id="rId57" Type="http://schemas.openxmlformats.org/officeDocument/2006/relationships/hyperlink" Target="http://www.chattanooga.gov/city-council-files/OrdinancesAndResolutions/Resolutions/Resolutions%202008/25672%20Auth%20PILOT%20Agmt%20-%20%20Westinghouse%20Electric%20Sept%202008.pdf" TargetMode="External"/><Relationship Id="rId10" Type="http://schemas.openxmlformats.org/officeDocument/2006/relationships/hyperlink" Target="http://www.chattanooga.gov/city-council-files/OrdinancesAndResolutions/Resolutions/Resolutions%202014/27960%20Aut%20MOU%20for%20VW%20CrossBlue%20Project.pdf" TargetMode="External"/><Relationship Id="rId31" Type="http://schemas.openxmlformats.org/officeDocument/2006/relationships/hyperlink" Target="http://resolutions.hamiltontn.gov/resolutions/2010/1010-8.pdf" TargetMode="External"/><Relationship Id="rId44" Type="http://schemas.openxmlformats.org/officeDocument/2006/relationships/hyperlink" Target="http://www.chattanooga.gov/city-council-files/OrdinancesAndResolutions/Resolutions/Resolutions%202015/28256%20PILOT%20The%20KORE%20Company.pdf" TargetMode="External"/><Relationship Id="rId52" Type="http://schemas.openxmlformats.org/officeDocument/2006/relationships/hyperlink" Target="http://www.chattanooga.gov/city-council-files/OrdinancesAndResolutions/Resolutions/Resolutions%202016/28501%20PILOT%20Yanfeng.pdf" TargetMode="External"/><Relationship Id="rId60" Type="http://schemas.openxmlformats.org/officeDocument/2006/relationships/hyperlink" Target="http://resolutions.hamiltontn.gov/resolutions/2016/1216-31.pdf" TargetMode="External"/><Relationship Id="rId65" Type="http://schemas.openxmlformats.org/officeDocument/2006/relationships/hyperlink" Target="http://resolutions.hamiltontn.gov/resolutions/2005/305-34.pdf" TargetMode="External"/><Relationship Id="rId73" Type="http://schemas.openxmlformats.org/officeDocument/2006/relationships/hyperlink" Target="http://resolutions.hamiltontn.gov/resolutions/2018/318-14.pdf" TargetMode="External"/><Relationship Id="rId78" Type="http://schemas.openxmlformats.org/officeDocument/2006/relationships/hyperlink" Target="http://resolutions.hamiltontn.gov/resolutions/2018/1018-4.pdf" TargetMode="External"/><Relationship Id="rId81" Type="http://schemas.openxmlformats.org/officeDocument/2006/relationships/hyperlink" Target="http://resolutions.hamiltontn.gov/resolutions/2017/1117-27.pdf" TargetMode="External"/><Relationship Id="rId86" Type="http://schemas.openxmlformats.org/officeDocument/2006/relationships/hyperlink" Target="http://www.chattanooga.gov/city-council-files/OrdinancesAndResolutions/Resolutions/Resolutions%202019/30103%20TIF%20East%20Chattanooga%20-%20Tubman%20Si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S118"/>
  <sheetViews>
    <sheetView tabSelected="1" zoomScaleNormal="100" workbookViewId="0">
      <pane xSplit="5" ySplit="3" topLeftCell="F4" activePane="bottomRight" state="frozen"/>
      <selection activeCell="A2" sqref="A2"/>
      <selection pane="topRight" activeCell="F2" sqref="F2"/>
      <selection pane="bottomLeft" activeCell="A4" sqref="A4"/>
      <selection pane="bottomRight" activeCell="U41" sqref="U26:U41"/>
    </sheetView>
  </sheetViews>
  <sheetFormatPr defaultColWidth="17.28515625" defaultRowHeight="15" customHeight="1" x14ac:dyDescent="0.2"/>
  <cols>
    <col min="1" max="1" width="37.140625" style="22" customWidth="1"/>
    <col min="2" max="2" width="40.140625" style="22" bestFit="1" customWidth="1"/>
    <col min="3" max="3" width="25" style="22" hidden="1" customWidth="1"/>
    <col min="4" max="4" width="13.28515625" style="22" hidden="1" customWidth="1"/>
    <col min="5" max="5" width="26.7109375" style="19" customWidth="1"/>
    <col min="6" max="6" width="10.7109375" style="22" customWidth="1"/>
    <col min="7" max="7" width="11.140625" style="22" customWidth="1"/>
    <col min="8" max="8" width="10.42578125" style="22" customWidth="1"/>
    <col min="9" max="9" width="2.140625" style="6" customWidth="1"/>
    <col min="10" max="10" width="11.140625" style="22" customWidth="1"/>
    <col min="11" max="11" width="11" style="22" customWidth="1"/>
    <col min="12" max="12" width="10.85546875" style="22" customWidth="1"/>
    <col min="13" max="13" width="1.7109375" style="6" customWidth="1"/>
    <col min="14" max="14" width="10.7109375" style="22" customWidth="1"/>
    <col min="15" max="15" width="8.42578125" style="22" customWidth="1"/>
    <col min="16" max="16" width="13.28515625" style="22" customWidth="1"/>
    <col min="17" max="17" width="12.5703125" style="33" customWidth="1"/>
    <col min="18" max="18" width="27" style="29" customWidth="1"/>
    <col min="19" max="19" width="14.5703125" style="3" customWidth="1"/>
    <col min="20" max="20" width="21" style="3" hidden="1" customWidth="1"/>
    <col min="21" max="21" width="17.42578125" style="34" customWidth="1"/>
    <col min="22" max="22" width="1.7109375" style="6" customWidth="1"/>
    <col min="23" max="23" width="13" style="3" customWidth="1"/>
    <col min="24" max="24" width="15" style="3" customWidth="1"/>
    <col min="25" max="25" width="14.85546875" style="3" customWidth="1"/>
    <col min="26" max="26" width="14.28515625" style="3" customWidth="1"/>
    <col min="27" max="27" width="3.7109375" style="6" customWidth="1"/>
    <col min="28" max="28" width="12" style="3" customWidth="1"/>
    <col min="29" max="29" width="14.7109375" style="3" customWidth="1"/>
    <col min="30" max="30" width="14.5703125" style="3" customWidth="1"/>
    <col min="31" max="31" width="13.85546875" style="3" customWidth="1"/>
    <col min="32" max="32" width="15" style="3" customWidth="1"/>
    <col min="33" max="33" width="3.7109375" style="6" customWidth="1"/>
    <col min="34" max="34" width="11.5703125" style="3" customWidth="1"/>
    <col min="35" max="35" width="11.7109375" style="3" customWidth="1"/>
    <col min="36" max="36" width="13.7109375" style="3" customWidth="1"/>
    <col min="37" max="37" width="14" style="3" customWidth="1"/>
    <col min="38" max="38" width="13" style="3" customWidth="1"/>
    <col min="39" max="39" width="17.28515625" style="22"/>
    <col min="40" max="40" width="0" style="22" hidden="1" customWidth="1"/>
    <col min="41" max="16384" width="17.28515625" style="22"/>
  </cols>
  <sheetData>
    <row r="1" spans="1:40" customFormat="1" ht="12.75" x14ac:dyDescent="0.2">
      <c r="A1" s="22"/>
      <c r="E1" s="15"/>
      <c r="I1" s="4"/>
      <c r="M1" s="4"/>
      <c r="N1" s="22"/>
      <c r="O1" s="22"/>
      <c r="Q1" s="32"/>
      <c r="R1" s="27"/>
      <c r="S1" s="1"/>
      <c r="T1" s="1"/>
      <c r="U1" s="34"/>
      <c r="V1" s="4"/>
      <c r="W1" s="2">
        <v>2.2770000000000001</v>
      </c>
      <c r="X1" s="2">
        <f>1.505+0.0099</f>
        <v>1.5148999999999999</v>
      </c>
      <c r="Y1" s="2">
        <v>1.2503</v>
      </c>
      <c r="Z1" s="2"/>
      <c r="AA1" s="4"/>
      <c r="AB1" s="3"/>
      <c r="AC1" s="3"/>
      <c r="AD1" s="3"/>
      <c r="AE1" s="3"/>
      <c r="AF1" s="3"/>
      <c r="AG1" s="4"/>
      <c r="AH1" s="1"/>
      <c r="AI1" s="1"/>
      <c r="AJ1" s="1"/>
      <c r="AK1" s="1"/>
      <c r="AL1" s="1"/>
    </row>
    <row r="2" spans="1:40" customFormat="1" ht="15" customHeight="1" thickBot="1" x14ac:dyDescent="0.25">
      <c r="A2" s="22"/>
      <c r="E2" s="15"/>
      <c r="F2" s="343" t="s">
        <v>52</v>
      </c>
      <c r="G2" s="343"/>
      <c r="H2" s="343"/>
      <c r="I2" s="36"/>
      <c r="J2" s="343" t="s">
        <v>53</v>
      </c>
      <c r="K2" s="343"/>
      <c r="L2" s="343"/>
      <c r="M2" s="36"/>
      <c r="N2" s="22"/>
      <c r="O2" s="22"/>
      <c r="Q2" s="32"/>
      <c r="R2" s="27"/>
      <c r="S2" s="1"/>
      <c r="T2" s="1"/>
      <c r="U2" s="34"/>
      <c r="V2" s="5"/>
      <c r="W2" s="7" t="s">
        <v>41</v>
      </c>
      <c r="X2" s="7"/>
      <c r="Y2" s="7"/>
      <c r="Z2" s="7"/>
      <c r="AA2" s="5"/>
      <c r="AB2" s="344" t="s">
        <v>85</v>
      </c>
      <c r="AC2" s="345"/>
      <c r="AD2" s="345"/>
      <c r="AE2" s="345"/>
      <c r="AF2" s="346"/>
      <c r="AG2" s="5"/>
      <c r="AH2" s="347" t="s">
        <v>47</v>
      </c>
      <c r="AI2" s="348"/>
      <c r="AJ2" s="348"/>
      <c r="AK2" s="348"/>
      <c r="AL2" s="349"/>
    </row>
    <row r="3" spans="1:40" s="15" customFormat="1" ht="24" customHeight="1" x14ac:dyDescent="0.2">
      <c r="A3" s="16" t="s">
        <v>0</v>
      </c>
      <c r="B3" s="8" t="s">
        <v>3</v>
      </c>
      <c r="C3" s="24" t="s">
        <v>8</v>
      </c>
      <c r="D3" s="24" t="s">
        <v>9</v>
      </c>
      <c r="E3" s="8" t="s">
        <v>73</v>
      </c>
      <c r="F3" s="8" t="s">
        <v>66</v>
      </c>
      <c r="G3" s="14" t="s">
        <v>5</v>
      </c>
      <c r="H3" s="14" t="s">
        <v>90</v>
      </c>
      <c r="I3" s="12"/>
      <c r="J3" s="8" t="s">
        <v>66</v>
      </c>
      <c r="K3" s="14" t="s">
        <v>5</v>
      </c>
      <c r="L3" s="14" t="s">
        <v>90</v>
      </c>
      <c r="M3" s="12"/>
      <c r="N3" s="16" t="s">
        <v>6</v>
      </c>
      <c r="O3" s="16" t="s">
        <v>7</v>
      </c>
      <c r="P3" s="16" t="s">
        <v>1</v>
      </c>
      <c r="Q3" s="30" t="s">
        <v>2</v>
      </c>
      <c r="R3" s="16" t="s">
        <v>104</v>
      </c>
      <c r="S3" s="12" t="s">
        <v>139</v>
      </c>
      <c r="T3" s="9" t="s">
        <v>4</v>
      </c>
      <c r="U3" s="12" t="s">
        <v>40</v>
      </c>
      <c r="V3" s="12"/>
      <c r="W3" s="11" t="s">
        <v>42</v>
      </c>
      <c r="X3" s="11" t="s">
        <v>43</v>
      </c>
      <c r="Y3" s="11" t="s">
        <v>44</v>
      </c>
      <c r="Z3" s="10" t="s">
        <v>46</v>
      </c>
      <c r="AA3" s="12"/>
      <c r="AB3" s="21" t="s">
        <v>206</v>
      </c>
      <c r="AC3" s="21" t="s">
        <v>207</v>
      </c>
      <c r="AD3" s="21" t="s">
        <v>208</v>
      </c>
      <c r="AE3" s="21" t="s">
        <v>89</v>
      </c>
      <c r="AF3" s="21" t="s">
        <v>86</v>
      </c>
      <c r="AG3" s="12"/>
      <c r="AH3" s="13" t="s">
        <v>48</v>
      </c>
      <c r="AI3" s="13" t="s">
        <v>49</v>
      </c>
      <c r="AJ3" s="13" t="s">
        <v>50</v>
      </c>
      <c r="AK3" s="13" t="s">
        <v>89</v>
      </c>
      <c r="AL3" s="13" t="s">
        <v>51</v>
      </c>
    </row>
    <row r="4" spans="1:40" s="19" customFormat="1" ht="38.25" customHeight="1" x14ac:dyDescent="0.25">
      <c r="A4" s="20" t="s">
        <v>54</v>
      </c>
      <c r="B4" s="16"/>
      <c r="C4" s="16"/>
      <c r="D4" s="16"/>
      <c r="E4" s="16"/>
      <c r="F4" s="16"/>
      <c r="G4" s="17"/>
      <c r="H4" s="17"/>
      <c r="I4" s="12"/>
      <c r="J4" s="16"/>
      <c r="K4" s="17"/>
      <c r="L4" s="17"/>
      <c r="M4" s="12"/>
      <c r="N4" s="16"/>
      <c r="O4" s="16"/>
      <c r="P4" s="16"/>
      <c r="Q4" s="30"/>
      <c r="R4" s="28"/>
      <c r="S4" s="12"/>
      <c r="T4" s="12"/>
      <c r="U4" s="248"/>
      <c r="V4" s="12"/>
      <c r="W4" s="18"/>
      <c r="X4" s="18"/>
      <c r="Y4" s="18"/>
      <c r="Z4" s="12"/>
      <c r="AA4" s="12"/>
      <c r="AB4" s="18"/>
      <c r="AC4" s="18"/>
      <c r="AD4" s="18"/>
      <c r="AE4" s="242"/>
      <c r="AF4" s="12"/>
      <c r="AG4" s="12"/>
      <c r="AH4" s="35"/>
      <c r="AI4" s="12"/>
      <c r="AJ4" s="12"/>
      <c r="AK4" s="12"/>
      <c r="AL4" s="12"/>
    </row>
    <row r="5" spans="1:40" s="58" customFormat="1" ht="25.5" customHeight="1" x14ac:dyDescent="0.2">
      <c r="A5" s="40" t="s">
        <v>24</v>
      </c>
      <c r="B5" s="41" t="s">
        <v>25</v>
      </c>
      <c r="C5" s="42">
        <v>35.068630239999997</v>
      </c>
      <c r="D5" s="42">
        <v>-85.142667220000007</v>
      </c>
      <c r="E5" s="43" t="s">
        <v>74</v>
      </c>
      <c r="F5" s="42">
        <v>26502</v>
      </c>
      <c r="G5" s="44">
        <v>40512</v>
      </c>
      <c r="H5" s="45" t="s">
        <v>91</v>
      </c>
      <c r="I5" s="46"/>
      <c r="J5" s="42" t="s">
        <v>57</v>
      </c>
      <c r="K5" s="44">
        <v>40513</v>
      </c>
      <c r="L5" s="243" t="s">
        <v>91</v>
      </c>
      <c r="M5" s="46"/>
      <c r="N5" s="47">
        <v>2012</v>
      </c>
      <c r="O5" s="47">
        <v>2022</v>
      </c>
      <c r="P5" s="48">
        <v>1249</v>
      </c>
      <c r="Q5" s="49">
        <v>30500</v>
      </c>
      <c r="R5" s="50" t="s">
        <v>154</v>
      </c>
      <c r="S5" s="51">
        <v>91000000</v>
      </c>
      <c r="T5" s="51"/>
      <c r="U5" s="291">
        <v>4218948</v>
      </c>
      <c r="V5" s="46"/>
      <c r="W5" s="52">
        <f t="shared" ref="W5:X10" si="0">+$U5*W$1/100</f>
        <v>96065.445960000012</v>
      </c>
      <c r="X5" s="52">
        <f t="shared" si="0"/>
        <v>63912.843251999999</v>
      </c>
      <c r="Y5" s="52">
        <f>ROUND(+$U5*Y$1/100,2)</f>
        <v>52749.51</v>
      </c>
      <c r="Z5" s="52">
        <f t="shared" ref="Z5:Z18" si="1">+W5+X5+Y5</f>
        <v>212727.79921200001</v>
      </c>
      <c r="AA5" s="46"/>
      <c r="AB5" s="53">
        <v>0</v>
      </c>
      <c r="AC5" s="54">
        <v>0</v>
      </c>
      <c r="AD5" s="54">
        <f>Y5</f>
        <v>52749.51</v>
      </c>
      <c r="AE5" s="54"/>
      <c r="AF5" s="54">
        <f t="shared" ref="AF5:AF18" si="2">+AB5+AC5+AD5+AE5</f>
        <v>52749.51</v>
      </c>
      <c r="AG5" s="269"/>
      <c r="AH5" s="55">
        <f t="shared" ref="AH5:AJ18" si="3">+W5-AB5</f>
        <v>96065.445960000012</v>
      </c>
      <c r="AI5" s="56">
        <f t="shared" si="3"/>
        <v>63912.843251999999</v>
      </c>
      <c r="AJ5" s="57">
        <f t="shared" si="3"/>
        <v>0</v>
      </c>
      <c r="AK5" s="56">
        <f t="shared" ref="AK5:AK18" si="4">-AE5</f>
        <v>0</v>
      </c>
      <c r="AL5" s="56">
        <f t="shared" ref="AL5:AL18" si="5">+Z5-AF5</f>
        <v>159978.289212</v>
      </c>
    </row>
    <row r="6" spans="1:40" s="58" customFormat="1" ht="25.5" customHeight="1" x14ac:dyDescent="0.2">
      <c r="A6" s="59" t="s">
        <v>142</v>
      </c>
      <c r="B6" s="60" t="s">
        <v>26</v>
      </c>
      <c r="C6" s="61">
        <v>35.069798300000002</v>
      </c>
      <c r="D6" s="61">
        <v>-85.135412052999996</v>
      </c>
      <c r="E6" s="62" t="s">
        <v>75</v>
      </c>
      <c r="F6" s="61">
        <v>26502</v>
      </c>
      <c r="G6" s="63">
        <v>40512</v>
      </c>
      <c r="H6" s="64" t="s">
        <v>91</v>
      </c>
      <c r="I6" s="65"/>
      <c r="J6" s="61" t="s">
        <v>57</v>
      </c>
      <c r="K6" s="63">
        <v>40513</v>
      </c>
      <c r="L6" s="159" t="s">
        <v>91</v>
      </c>
      <c r="M6" s="65"/>
      <c r="N6" s="66">
        <v>2012</v>
      </c>
      <c r="O6" s="66">
        <v>2022</v>
      </c>
      <c r="P6" s="67">
        <v>1249</v>
      </c>
      <c r="Q6" s="68">
        <v>30500</v>
      </c>
      <c r="R6" s="50" t="s">
        <v>155</v>
      </c>
      <c r="S6" s="70">
        <f>51000000+40000000</f>
        <v>91000000</v>
      </c>
      <c r="T6" s="70"/>
      <c r="U6" s="300">
        <v>26128360</v>
      </c>
      <c r="V6" s="65"/>
      <c r="W6" s="71">
        <f>+$U6*W$1/100</f>
        <v>594942.75720000011</v>
      </c>
      <c r="X6" s="71">
        <f>+$U6*X$1/100</f>
        <v>395818.52563999995</v>
      </c>
      <c r="Y6" s="71">
        <f>+$U6*Y$1/100</f>
        <v>326682.88507999998</v>
      </c>
      <c r="Z6" s="71">
        <f>+W6+X6+Y6</f>
        <v>1317444.1679199999</v>
      </c>
      <c r="AA6" s="65"/>
      <c r="AB6" s="72">
        <v>0</v>
      </c>
      <c r="AC6" s="73">
        <v>0</v>
      </c>
      <c r="AD6" s="73">
        <f>Y6</f>
        <v>326682.88507999998</v>
      </c>
      <c r="AE6" s="73"/>
      <c r="AF6" s="73">
        <f>+AB6+AC6+AD6+AE6</f>
        <v>326682.88507999998</v>
      </c>
      <c r="AG6" s="264"/>
      <c r="AH6" s="74">
        <f>+W6-AB6</f>
        <v>594942.75720000011</v>
      </c>
      <c r="AI6" s="75">
        <f>+X6-AC6</f>
        <v>395818.52563999995</v>
      </c>
      <c r="AJ6" s="75">
        <f>+Y6-AD6</f>
        <v>0</v>
      </c>
      <c r="AK6" s="75">
        <f>-AE6</f>
        <v>0</v>
      </c>
      <c r="AL6" s="75">
        <f>+Z6-AF6</f>
        <v>990761.28284</v>
      </c>
    </row>
    <row r="7" spans="1:40" s="58" customFormat="1" ht="25.5" customHeight="1" x14ac:dyDescent="0.2">
      <c r="A7" s="79" t="s">
        <v>143</v>
      </c>
      <c r="B7" s="80" t="s">
        <v>144</v>
      </c>
      <c r="C7" s="81">
        <v>35.052216000000001</v>
      </c>
      <c r="D7" s="81">
        <v>-85.317967999999993</v>
      </c>
      <c r="E7" s="82" t="s">
        <v>145</v>
      </c>
      <c r="F7" s="81">
        <v>24361</v>
      </c>
      <c r="G7" s="83">
        <v>38433</v>
      </c>
      <c r="H7" s="84" t="s">
        <v>91</v>
      </c>
      <c r="I7" s="85"/>
      <c r="J7" s="86" t="s">
        <v>146</v>
      </c>
      <c r="K7" s="87">
        <v>38434</v>
      </c>
      <c r="L7" s="88" t="s">
        <v>91</v>
      </c>
      <c r="M7" s="85"/>
      <c r="N7" s="89">
        <v>2010</v>
      </c>
      <c r="O7" s="89">
        <v>2025</v>
      </c>
      <c r="P7" s="90"/>
      <c r="Q7" s="91"/>
      <c r="R7" s="92" t="s">
        <v>10</v>
      </c>
      <c r="S7" s="93"/>
      <c r="T7" s="93"/>
      <c r="U7" s="301">
        <f>36303760+40705200+412320+9084216</f>
        <v>86505496</v>
      </c>
      <c r="V7" s="85"/>
      <c r="W7" s="94">
        <f t="shared" ref="W7:Y7" si="6">+$U7*W$1/100</f>
        <v>1969730.1439200002</v>
      </c>
      <c r="X7" s="94">
        <f t="shared" si="6"/>
        <v>1310471.7589039998</v>
      </c>
      <c r="Y7" s="94">
        <f t="shared" si="6"/>
        <v>1081578.216488</v>
      </c>
      <c r="Z7" s="94">
        <f t="shared" ref="Z7" si="7">+W7+X7+Y7</f>
        <v>4361780.1193119995</v>
      </c>
      <c r="AA7" s="85"/>
      <c r="AB7" s="95">
        <f t="shared" ref="AB7:AD7" si="8">W7/2</f>
        <v>984865.07196000009</v>
      </c>
      <c r="AC7" s="95">
        <f t="shared" si="8"/>
        <v>655235.87945199991</v>
      </c>
      <c r="AD7" s="95">
        <f t="shared" si="8"/>
        <v>540789.108244</v>
      </c>
      <c r="AE7" s="96"/>
      <c r="AF7" s="96">
        <f t="shared" ref="AF7" si="9">+AB7+AC7+AD7+AE7</f>
        <v>2180890.0596559998</v>
      </c>
      <c r="AG7" s="85"/>
      <c r="AH7" s="97">
        <f t="shared" ref="AH7:AJ7" si="10">+W7-AB7</f>
        <v>984865.07196000009</v>
      </c>
      <c r="AI7" s="97">
        <f t="shared" si="10"/>
        <v>655235.87945199991</v>
      </c>
      <c r="AJ7" s="97">
        <f t="shared" si="10"/>
        <v>540789.108244</v>
      </c>
      <c r="AK7" s="97">
        <f t="shared" ref="AK7" si="11">-AE7</f>
        <v>0</v>
      </c>
      <c r="AL7" s="97">
        <f t="shared" ref="AL7" si="12">+Z7-AF7</f>
        <v>2180890.0596559998</v>
      </c>
    </row>
    <row r="8" spans="1:40" s="58" customFormat="1" ht="25.5" customHeight="1" x14ac:dyDescent="0.2">
      <c r="A8" s="59" t="s">
        <v>93</v>
      </c>
      <c r="B8" s="60" t="s">
        <v>11</v>
      </c>
      <c r="C8" s="61">
        <v>35.047637000000002</v>
      </c>
      <c r="D8" s="61">
        <v>-85.186363</v>
      </c>
      <c r="E8" s="62" t="s">
        <v>129</v>
      </c>
      <c r="F8" s="61">
        <v>27804</v>
      </c>
      <c r="G8" s="63">
        <v>41709</v>
      </c>
      <c r="H8" s="64" t="s">
        <v>91</v>
      </c>
      <c r="I8" s="65"/>
      <c r="J8" s="66" t="s">
        <v>84</v>
      </c>
      <c r="K8" s="101">
        <v>41717</v>
      </c>
      <c r="L8" s="159" t="s">
        <v>91</v>
      </c>
      <c r="M8" s="65"/>
      <c r="N8" s="66">
        <v>2016</v>
      </c>
      <c r="O8" s="66">
        <v>2027</v>
      </c>
      <c r="P8" s="76">
        <f>43+270</f>
        <v>313</v>
      </c>
      <c r="Q8" s="68">
        <v>45000</v>
      </c>
      <c r="R8" s="69" t="s">
        <v>194</v>
      </c>
      <c r="S8" s="70">
        <v>62000000</v>
      </c>
      <c r="T8" s="70"/>
      <c r="U8" s="300">
        <f>17694680+2880915</f>
        <v>20575595</v>
      </c>
      <c r="V8" s="65"/>
      <c r="W8" s="71">
        <f>+$U8*W$1/100</f>
        <v>468506.29815000005</v>
      </c>
      <c r="X8" s="71">
        <f t="shared" si="0"/>
        <v>311699.68865500001</v>
      </c>
      <c r="Y8" s="71">
        <f>+$U8*Y$1/100</f>
        <v>257256.66428500001</v>
      </c>
      <c r="Z8" s="71">
        <f t="shared" si="1"/>
        <v>1037462.6510900001</v>
      </c>
      <c r="AA8" s="65"/>
      <c r="AB8" s="73">
        <f>W8*0.2</f>
        <v>93701.259630000015</v>
      </c>
      <c r="AC8" s="73">
        <f>X8*0.2</f>
        <v>62339.937731000005</v>
      </c>
      <c r="AD8" s="73">
        <f>Y8</f>
        <v>257256.66428500001</v>
      </c>
      <c r="AE8" s="73">
        <f>SUM(W8:X8)*0.05</f>
        <v>39010.299340250007</v>
      </c>
      <c r="AF8" s="73">
        <f t="shared" si="2"/>
        <v>452308.16098625009</v>
      </c>
      <c r="AG8" s="264"/>
      <c r="AH8" s="74">
        <f t="shared" si="3"/>
        <v>374805.03852000006</v>
      </c>
      <c r="AI8" s="75">
        <f t="shared" si="3"/>
        <v>249359.75092399999</v>
      </c>
      <c r="AJ8" s="75">
        <f t="shared" si="3"/>
        <v>0</v>
      </c>
      <c r="AK8" s="75">
        <f t="shared" si="4"/>
        <v>-39010.299340250007</v>
      </c>
      <c r="AL8" s="75">
        <f t="shared" si="5"/>
        <v>585154.49010375002</v>
      </c>
    </row>
    <row r="9" spans="1:40" s="58" customFormat="1" ht="25.5" customHeight="1" x14ac:dyDescent="0.2">
      <c r="A9" s="250" t="s">
        <v>98</v>
      </c>
      <c r="B9" s="146"/>
      <c r="C9" s="251"/>
      <c r="D9" s="251"/>
      <c r="E9" s="151" t="s">
        <v>188</v>
      </c>
      <c r="F9" s="61">
        <v>28302</v>
      </c>
      <c r="G9" s="63">
        <v>42185</v>
      </c>
      <c r="H9" s="107" t="s">
        <v>91</v>
      </c>
      <c r="I9" s="65"/>
      <c r="J9" s="62" t="s">
        <v>109</v>
      </c>
      <c r="K9" s="108">
        <v>42186</v>
      </c>
      <c r="L9" s="157" t="s">
        <v>91</v>
      </c>
      <c r="M9" s="65"/>
      <c r="N9" s="66">
        <v>2017</v>
      </c>
      <c r="O9" s="66">
        <v>2026</v>
      </c>
      <c r="P9" s="98">
        <v>136</v>
      </c>
      <c r="Q9" s="68"/>
      <c r="R9" s="69"/>
      <c r="S9" s="70">
        <v>39100000</v>
      </c>
      <c r="T9" s="70"/>
      <c r="U9" s="300">
        <f>15619800+6824327</f>
        <v>22444127</v>
      </c>
      <c r="V9" s="65"/>
      <c r="W9" s="252">
        <f>+$U9*W$1/100</f>
        <v>511052.77179000003</v>
      </c>
      <c r="X9" s="252">
        <f t="shared" si="0"/>
        <v>340006.07992299995</v>
      </c>
      <c r="Y9" s="252">
        <f>+$U9*Y$1/100</f>
        <v>280618.91988100001</v>
      </c>
      <c r="Z9" s="252">
        <f t="shared" ref="Z9" si="13">+W9+X9+Y9</f>
        <v>1131677.771594</v>
      </c>
      <c r="AA9" s="65"/>
      <c r="AB9" s="287">
        <f>W9*0.4</f>
        <v>204421.10871600002</v>
      </c>
      <c r="AC9" s="109">
        <f>X9*0.4</f>
        <v>136002.4319692</v>
      </c>
      <c r="AD9" s="73">
        <f>Y9</f>
        <v>280618.91988100001</v>
      </c>
      <c r="AE9" s="266">
        <f>SUM(X9:Y9)*0.1253+SUM(W9*0.15)</f>
        <v>154422.22824394118</v>
      </c>
      <c r="AF9" s="73">
        <f>SUM(AB9:AE9)</f>
        <v>775464.68881014129</v>
      </c>
      <c r="AG9" s="264"/>
      <c r="AH9" s="267">
        <f t="shared" ref="AH9:AH10" si="14">+W9-AB9</f>
        <v>306631.66307400004</v>
      </c>
      <c r="AI9" s="265">
        <f t="shared" ref="AI9:AI10" si="15">+X9-AC9</f>
        <v>204003.64795379995</v>
      </c>
      <c r="AJ9" s="265">
        <f t="shared" ref="AJ9:AJ10" si="16">+Y9-AD9</f>
        <v>0</v>
      </c>
      <c r="AK9" s="265">
        <f t="shared" ref="AK9:AK10" si="17">-AE9</f>
        <v>-154422.22824394118</v>
      </c>
      <c r="AL9" s="75">
        <f t="shared" si="5"/>
        <v>356213.08278385876</v>
      </c>
      <c r="AM9" s="110"/>
    </row>
    <row r="10" spans="1:40" s="58" customFormat="1" ht="25.5" customHeight="1" x14ac:dyDescent="0.2">
      <c r="A10" s="299" t="s">
        <v>147</v>
      </c>
      <c r="B10" s="146"/>
      <c r="C10" s="297"/>
      <c r="D10" s="297"/>
      <c r="E10" s="151" t="s">
        <v>204</v>
      </c>
      <c r="F10" s="61">
        <v>29035</v>
      </c>
      <c r="G10" s="63">
        <v>42871</v>
      </c>
      <c r="H10" s="107" t="s">
        <v>91</v>
      </c>
      <c r="I10" s="65"/>
      <c r="J10" s="62" t="s">
        <v>148</v>
      </c>
      <c r="K10" s="108">
        <v>42872</v>
      </c>
      <c r="L10" s="157" t="s">
        <v>91</v>
      </c>
      <c r="M10" s="65"/>
      <c r="N10" s="66">
        <v>2019</v>
      </c>
      <c r="O10" s="66">
        <v>2023</v>
      </c>
      <c r="P10" s="98">
        <v>192</v>
      </c>
      <c r="Q10" s="68">
        <v>39250</v>
      </c>
      <c r="R10" s="69"/>
      <c r="S10" s="70">
        <v>5700000</v>
      </c>
      <c r="T10" s="70"/>
      <c r="U10" s="300">
        <f>2182440+453236</f>
        <v>2635676</v>
      </c>
      <c r="V10" s="65"/>
      <c r="W10" s="293">
        <f>+$U10*W$1/100</f>
        <v>60014.342520000006</v>
      </c>
      <c r="X10" s="293">
        <f t="shared" si="0"/>
        <v>39927.855724000001</v>
      </c>
      <c r="Y10" s="293">
        <f>+$U10*Y$1/100</f>
        <v>32953.857027999999</v>
      </c>
      <c r="Z10" s="293">
        <f t="shared" ref="Z10" si="18">+W10+X10+Y10</f>
        <v>132896.055272</v>
      </c>
      <c r="AA10" s="65"/>
      <c r="AB10" s="72"/>
      <c r="AC10" s="109">
        <v>0</v>
      </c>
      <c r="AD10" s="73">
        <f>Y10</f>
        <v>32953.857027999999</v>
      </c>
      <c r="AE10" s="295">
        <f>SUM(X10:Y10)*0.1253+SUM(W10*0.15)</f>
        <v>18134.229985825601</v>
      </c>
      <c r="AF10" s="295">
        <f>SUM(AB10:AE10)</f>
        <v>51088.0870138256</v>
      </c>
      <c r="AG10" s="264"/>
      <c r="AH10" s="267">
        <f t="shared" si="14"/>
        <v>60014.342520000006</v>
      </c>
      <c r="AI10" s="265">
        <f t="shared" si="15"/>
        <v>39927.855724000001</v>
      </c>
      <c r="AJ10" s="265">
        <f t="shared" si="16"/>
        <v>0</v>
      </c>
      <c r="AK10" s="265">
        <f t="shared" si="17"/>
        <v>-18134.229985825601</v>
      </c>
      <c r="AL10" s="265">
        <f t="shared" si="5"/>
        <v>81807.968258174398</v>
      </c>
      <c r="AM10" s="110"/>
    </row>
    <row r="11" spans="1:40" s="58" customFormat="1" ht="25.5" customHeight="1" x14ac:dyDescent="0.2">
      <c r="A11" s="59" t="s">
        <v>13</v>
      </c>
      <c r="B11" s="60" t="s">
        <v>14</v>
      </c>
      <c r="C11" s="61">
        <v>35.030859</v>
      </c>
      <c r="D11" s="61">
        <v>-85.161440999999996</v>
      </c>
      <c r="E11" s="62" t="s">
        <v>76</v>
      </c>
      <c r="F11" s="61">
        <v>25042</v>
      </c>
      <c r="G11" s="63">
        <v>39133</v>
      </c>
      <c r="H11" s="64" t="s">
        <v>91</v>
      </c>
      <c r="I11" s="65"/>
      <c r="J11" s="61" t="s">
        <v>59</v>
      </c>
      <c r="K11" s="63">
        <v>39134</v>
      </c>
      <c r="L11" s="159" t="s">
        <v>91</v>
      </c>
      <c r="M11" s="65"/>
      <c r="N11" s="66">
        <v>2008</v>
      </c>
      <c r="O11" s="66">
        <v>2020</v>
      </c>
      <c r="P11" s="98">
        <v>104</v>
      </c>
      <c r="Q11" s="68">
        <v>56500</v>
      </c>
      <c r="R11" s="69"/>
      <c r="S11" s="70">
        <v>11000000</v>
      </c>
      <c r="T11" s="70"/>
      <c r="U11" s="300">
        <f>4419480+60441</f>
        <v>4479921</v>
      </c>
      <c r="V11" s="65"/>
      <c r="W11" s="71">
        <f t="shared" ref="W11:Y17" si="19">+$U11*W$1/100</f>
        <v>102007.80117000001</v>
      </c>
      <c r="X11" s="71">
        <f t="shared" si="19"/>
        <v>67866.323229000001</v>
      </c>
      <c r="Y11" s="71">
        <f t="shared" si="19"/>
        <v>56012.452262999999</v>
      </c>
      <c r="Z11" s="71">
        <f t="shared" si="1"/>
        <v>225886.57666200004</v>
      </c>
      <c r="AA11" s="65"/>
      <c r="AB11" s="77">
        <f t="shared" ref="AB11:AD11" si="20">W11/2</f>
        <v>51003.900585000003</v>
      </c>
      <c r="AC11" s="77">
        <f t="shared" si="20"/>
        <v>33933.161614500001</v>
      </c>
      <c r="AD11" s="77">
        <f t="shared" si="20"/>
        <v>28006.2261315</v>
      </c>
      <c r="AE11" s="73"/>
      <c r="AF11" s="73">
        <f t="shared" si="2"/>
        <v>112943.28833100002</v>
      </c>
      <c r="AG11" s="264"/>
      <c r="AH11" s="74">
        <f t="shared" si="3"/>
        <v>51003.900585000003</v>
      </c>
      <c r="AI11" s="75">
        <f t="shared" si="3"/>
        <v>33933.161614500001</v>
      </c>
      <c r="AJ11" s="75">
        <f t="shared" si="3"/>
        <v>28006.2261315</v>
      </c>
      <c r="AK11" s="75">
        <f t="shared" si="4"/>
        <v>0</v>
      </c>
      <c r="AL11" s="75">
        <f t="shared" si="5"/>
        <v>112943.28833100002</v>
      </c>
    </row>
    <row r="12" spans="1:40" s="58" customFormat="1" ht="25.5" customHeight="1" x14ac:dyDescent="0.2">
      <c r="A12" s="59" t="s">
        <v>15</v>
      </c>
      <c r="B12" s="60" t="s">
        <v>16</v>
      </c>
      <c r="C12" s="61">
        <v>35.077647599999999</v>
      </c>
      <c r="D12" s="61">
        <v>-85.153917399999997</v>
      </c>
      <c r="E12" s="62" t="s">
        <v>119</v>
      </c>
      <c r="F12" s="61">
        <v>27892</v>
      </c>
      <c r="G12" s="63">
        <v>41793</v>
      </c>
      <c r="H12" s="64" t="s">
        <v>91</v>
      </c>
      <c r="I12" s="65"/>
      <c r="J12" s="61" t="s">
        <v>61</v>
      </c>
      <c r="K12" s="63">
        <v>41794</v>
      </c>
      <c r="L12" s="159" t="s">
        <v>91</v>
      </c>
      <c r="M12" s="65"/>
      <c r="N12" s="66">
        <v>2014</v>
      </c>
      <c r="O12" s="66">
        <v>2025</v>
      </c>
      <c r="P12" s="76">
        <v>250</v>
      </c>
      <c r="Q12" s="68">
        <v>44699</v>
      </c>
      <c r="R12" s="69"/>
      <c r="S12" s="70">
        <v>50000000</v>
      </c>
      <c r="T12" s="70"/>
      <c r="U12" s="300">
        <f>8151880+7360559</f>
        <v>15512439</v>
      </c>
      <c r="V12" s="65"/>
      <c r="W12" s="71">
        <f t="shared" si="19"/>
        <v>353218.23603000003</v>
      </c>
      <c r="X12" s="71">
        <f t="shared" si="19"/>
        <v>234997.93841100001</v>
      </c>
      <c r="Y12" s="71">
        <f t="shared" si="19"/>
        <v>193952.024817</v>
      </c>
      <c r="Z12" s="71">
        <f t="shared" si="1"/>
        <v>782168.19925800001</v>
      </c>
      <c r="AA12" s="65"/>
      <c r="AB12" s="72">
        <f>92809.16+83799.97</f>
        <v>176609.13</v>
      </c>
      <c r="AC12" s="72">
        <f>61746.42+55752.56</f>
        <v>117498.98</v>
      </c>
      <c r="AD12" s="72">
        <f>Y12</f>
        <v>193952.024817</v>
      </c>
      <c r="AE12" s="266">
        <f>SUM(W12:X12)*0.15</f>
        <v>88232.426166149991</v>
      </c>
      <c r="AF12" s="73">
        <f t="shared" si="2"/>
        <v>576292.56098315003</v>
      </c>
      <c r="AG12" s="264"/>
      <c r="AH12" s="74">
        <f t="shared" si="3"/>
        <v>176609.10603000002</v>
      </c>
      <c r="AI12" s="75">
        <f t="shared" si="3"/>
        <v>117498.95841100001</v>
      </c>
      <c r="AJ12" s="75">
        <f t="shared" si="3"/>
        <v>0</v>
      </c>
      <c r="AK12" s="75">
        <f t="shared" si="4"/>
        <v>-88232.426166149991</v>
      </c>
      <c r="AL12" s="75">
        <f t="shared" si="5"/>
        <v>205875.63827484997</v>
      </c>
      <c r="AN12" s="111">
        <f>+AI12*0.15</f>
        <v>17624.843761650001</v>
      </c>
    </row>
    <row r="13" spans="1:40" s="58" customFormat="1" ht="30" customHeight="1" x14ac:dyDescent="0.2">
      <c r="A13" s="59" t="s">
        <v>17</v>
      </c>
      <c r="B13" s="60" t="s">
        <v>18</v>
      </c>
      <c r="C13" s="61">
        <v>35.052191000000001</v>
      </c>
      <c r="D13" s="61">
        <v>85.307854000000006</v>
      </c>
      <c r="E13" s="62" t="s">
        <v>78</v>
      </c>
      <c r="F13" s="61">
        <v>25843</v>
      </c>
      <c r="G13" s="63">
        <v>39882</v>
      </c>
      <c r="H13" s="64" t="s">
        <v>91</v>
      </c>
      <c r="I13" s="65"/>
      <c r="J13" s="61" t="s">
        <v>62</v>
      </c>
      <c r="K13" s="63">
        <v>39890</v>
      </c>
      <c r="L13" s="159" t="s">
        <v>91</v>
      </c>
      <c r="M13" s="65"/>
      <c r="N13" s="66">
        <v>2011</v>
      </c>
      <c r="O13" s="66">
        <v>2025</v>
      </c>
      <c r="P13" s="76"/>
      <c r="Q13" s="68"/>
      <c r="R13" s="112"/>
      <c r="S13" s="70">
        <v>21000000</v>
      </c>
      <c r="T13" s="70"/>
      <c r="U13" s="300">
        <v>8368120</v>
      </c>
      <c r="V13" s="65"/>
      <c r="W13" s="71">
        <f t="shared" si="19"/>
        <v>190542.09240000002</v>
      </c>
      <c r="X13" s="71">
        <f t="shared" si="19"/>
        <v>126768.64988</v>
      </c>
      <c r="Y13" s="71">
        <f t="shared" si="19"/>
        <v>104626.60435999998</v>
      </c>
      <c r="Z13" s="71">
        <f t="shared" si="1"/>
        <v>421937.34664</v>
      </c>
      <c r="AA13" s="65"/>
      <c r="AB13" s="72">
        <f>+W13*0.3</f>
        <v>57162.627720000004</v>
      </c>
      <c r="AC13" s="73">
        <f>+X13*0.3</f>
        <v>38030.594963999996</v>
      </c>
      <c r="AD13" s="73">
        <f>+Y13*0.3</f>
        <v>31387.981307999995</v>
      </c>
      <c r="AE13" s="73"/>
      <c r="AF13" s="73">
        <f t="shared" si="2"/>
        <v>126581.203992</v>
      </c>
      <c r="AG13" s="264"/>
      <c r="AH13" s="74">
        <f t="shared" si="3"/>
        <v>133379.46468000003</v>
      </c>
      <c r="AI13" s="75">
        <f t="shared" si="3"/>
        <v>88738.054915999994</v>
      </c>
      <c r="AJ13" s="75">
        <f t="shared" si="3"/>
        <v>73238.623051999981</v>
      </c>
      <c r="AK13" s="75">
        <f t="shared" si="4"/>
        <v>0</v>
      </c>
      <c r="AL13" s="75">
        <f t="shared" si="5"/>
        <v>295356.14264800004</v>
      </c>
    </row>
    <row r="14" spans="1:40" s="58" customFormat="1" ht="25.5" customHeight="1" x14ac:dyDescent="0.2">
      <c r="A14" s="59" t="s">
        <v>27</v>
      </c>
      <c r="B14" s="60" t="s">
        <v>28</v>
      </c>
      <c r="C14" s="61">
        <v>35.053296000000003</v>
      </c>
      <c r="D14" s="61">
        <v>-85.311479199999994</v>
      </c>
      <c r="E14" s="62" t="s">
        <v>79</v>
      </c>
      <c r="F14" s="61">
        <v>25682</v>
      </c>
      <c r="G14" s="63">
        <v>39721</v>
      </c>
      <c r="H14" s="64" t="s">
        <v>91</v>
      </c>
      <c r="I14" s="65"/>
      <c r="J14" s="61" t="s">
        <v>63</v>
      </c>
      <c r="K14" s="63">
        <v>39722</v>
      </c>
      <c r="L14" s="159" t="s">
        <v>91</v>
      </c>
      <c r="M14" s="65"/>
      <c r="N14" s="66">
        <v>2010</v>
      </c>
      <c r="O14" s="66">
        <v>2024</v>
      </c>
      <c r="P14" s="76"/>
      <c r="Q14" s="68"/>
      <c r="R14" s="69"/>
      <c r="S14" s="70">
        <v>7000000</v>
      </c>
      <c r="T14" s="70"/>
      <c r="U14" s="300">
        <v>4342920</v>
      </c>
      <c r="V14" s="65"/>
      <c r="W14" s="71">
        <f t="shared" si="19"/>
        <v>98888.288400000005</v>
      </c>
      <c r="X14" s="71">
        <f t="shared" si="19"/>
        <v>65790.895079999988</v>
      </c>
      <c r="Y14" s="71">
        <f t="shared" si="19"/>
        <v>54299.528760000001</v>
      </c>
      <c r="Z14" s="71">
        <f t="shared" si="1"/>
        <v>218978.71224000002</v>
      </c>
      <c r="AA14" s="65"/>
      <c r="AB14" s="72">
        <v>0</v>
      </c>
      <c r="AC14" s="73">
        <v>0</v>
      </c>
      <c r="AD14" s="73">
        <f>Y14</f>
        <v>54299.528760000001</v>
      </c>
      <c r="AE14" s="73"/>
      <c r="AF14" s="73">
        <f t="shared" si="2"/>
        <v>54299.528760000001</v>
      </c>
      <c r="AG14" s="264"/>
      <c r="AH14" s="74">
        <f t="shared" si="3"/>
        <v>98888.288400000005</v>
      </c>
      <c r="AI14" s="75">
        <f t="shared" si="3"/>
        <v>65790.895079999988</v>
      </c>
      <c r="AJ14" s="75">
        <f t="shared" si="3"/>
        <v>0</v>
      </c>
      <c r="AK14" s="75">
        <f t="shared" si="4"/>
        <v>0</v>
      </c>
      <c r="AL14" s="75">
        <f t="shared" si="5"/>
        <v>164679.18348000001</v>
      </c>
    </row>
    <row r="15" spans="1:40" s="58" customFormat="1" ht="25.5" customHeight="1" x14ac:dyDescent="0.2">
      <c r="A15" s="59" t="s">
        <v>65</v>
      </c>
      <c r="B15" s="60" t="s">
        <v>19</v>
      </c>
      <c r="C15" s="61">
        <v>35.083309</v>
      </c>
      <c r="D15" s="61">
        <v>-85.261724999999998</v>
      </c>
      <c r="E15" s="62" t="s">
        <v>122</v>
      </c>
      <c r="F15" s="61">
        <v>28072</v>
      </c>
      <c r="G15" s="63">
        <v>41975</v>
      </c>
      <c r="H15" s="64" t="s">
        <v>91</v>
      </c>
      <c r="I15" s="65"/>
      <c r="J15" s="61" t="s">
        <v>64</v>
      </c>
      <c r="K15" s="63">
        <v>41976</v>
      </c>
      <c r="L15" s="159" t="s">
        <v>91</v>
      </c>
      <c r="M15" s="65"/>
      <c r="N15" s="66">
        <v>2015</v>
      </c>
      <c r="O15" s="66">
        <v>2022</v>
      </c>
      <c r="P15" s="76">
        <v>105</v>
      </c>
      <c r="Q15" s="68">
        <v>45000</v>
      </c>
      <c r="R15" s="69"/>
      <c r="S15" s="70">
        <v>18100000</v>
      </c>
      <c r="T15" s="70"/>
      <c r="U15" s="300">
        <f>800320+3490240+633760+148680+2047229</f>
        <v>7120229</v>
      </c>
      <c r="V15" s="65"/>
      <c r="W15" s="71">
        <f t="shared" si="19"/>
        <v>162127.61433000001</v>
      </c>
      <c r="X15" s="71">
        <f t="shared" si="19"/>
        <v>107864.34912100001</v>
      </c>
      <c r="Y15" s="71">
        <f>ROUND(+$U15*Y$1/100,2)</f>
        <v>89024.22</v>
      </c>
      <c r="Z15" s="71">
        <f t="shared" si="1"/>
        <v>359016.18345100002</v>
      </c>
      <c r="AA15" s="65"/>
      <c r="AB15" s="284">
        <f>W15*0.5</f>
        <v>81063.807165000006</v>
      </c>
      <c r="AC15" s="73">
        <f>X15*0.5</f>
        <v>53932.174560500003</v>
      </c>
      <c r="AD15" s="73">
        <f>10006.4+43638.47+7923.9+1858.95+25596.5</f>
        <v>89024.22</v>
      </c>
      <c r="AE15" s="266">
        <f>SUM(X15*0.15)+SUM(W15*0.15)</f>
        <v>40498.79451765</v>
      </c>
      <c r="AF15" s="73">
        <f t="shared" si="2"/>
        <v>264518.99624315003</v>
      </c>
      <c r="AG15" s="264"/>
      <c r="AH15" s="74">
        <f t="shared" si="3"/>
        <v>81063.807165000006</v>
      </c>
      <c r="AI15" s="75">
        <f t="shared" si="3"/>
        <v>53932.174560500003</v>
      </c>
      <c r="AJ15" s="75">
        <f t="shared" si="3"/>
        <v>0</v>
      </c>
      <c r="AK15" s="75">
        <f t="shared" si="4"/>
        <v>-40498.79451765</v>
      </c>
      <c r="AL15" s="75">
        <f t="shared" si="5"/>
        <v>94497.187207849987</v>
      </c>
      <c r="AN15" s="111">
        <f>+X15*0.15</f>
        <v>16179.65236815</v>
      </c>
    </row>
    <row r="16" spans="1:40" s="58" customFormat="1" ht="41.45" customHeight="1" x14ac:dyDescent="0.2">
      <c r="A16" s="59" t="s">
        <v>110</v>
      </c>
      <c r="B16" s="60" t="s">
        <v>153</v>
      </c>
      <c r="C16" s="61"/>
      <c r="D16" s="61"/>
      <c r="E16" s="62" t="s">
        <v>130</v>
      </c>
      <c r="F16" s="61">
        <v>28002</v>
      </c>
      <c r="G16" s="63">
        <v>41891</v>
      </c>
      <c r="H16" s="107" t="s">
        <v>91</v>
      </c>
      <c r="I16" s="65"/>
      <c r="J16" s="66" t="s">
        <v>95</v>
      </c>
      <c r="K16" s="101">
        <v>41899</v>
      </c>
      <c r="L16" s="157" t="s">
        <v>91</v>
      </c>
      <c r="M16" s="65"/>
      <c r="N16" s="66">
        <v>2016</v>
      </c>
      <c r="O16" s="66">
        <v>2020</v>
      </c>
      <c r="P16" s="76">
        <v>30</v>
      </c>
      <c r="Q16" s="68">
        <v>49000</v>
      </c>
      <c r="R16" s="69"/>
      <c r="S16" s="70">
        <v>5050000</v>
      </c>
      <c r="T16" s="70"/>
      <c r="U16" s="300">
        <f>1399280+272469</f>
        <v>1671749</v>
      </c>
      <c r="V16" s="65"/>
      <c r="W16" s="71">
        <f t="shared" si="19"/>
        <v>38065.724730000002</v>
      </c>
      <c r="X16" s="71">
        <f t="shared" si="19"/>
        <v>25325.325601</v>
      </c>
      <c r="Y16" s="71">
        <f t="shared" si="19"/>
        <v>20901.877746999999</v>
      </c>
      <c r="Z16" s="71">
        <f>+W16+X16+Y16</f>
        <v>84292.928077999997</v>
      </c>
      <c r="AA16" s="65"/>
      <c r="AB16" s="72">
        <f>15930.81+3102.06</f>
        <v>19032.87</v>
      </c>
      <c r="AC16" s="73">
        <f>10598.85+2063.82</f>
        <v>12662.67</v>
      </c>
      <c r="AD16" s="73">
        <f>Y16</f>
        <v>20901.877746999999</v>
      </c>
      <c r="AE16" s="266">
        <f>SUM(W16:X16)*0.15</f>
        <v>9508.6575496500009</v>
      </c>
      <c r="AF16" s="73">
        <f t="shared" si="2"/>
        <v>62106.07529665</v>
      </c>
      <c r="AG16" s="264"/>
      <c r="AH16" s="74">
        <f>+W16-AB16</f>
        <v>19032.854730000003</v>
      </c>
      <c r="AI16" s="75">
        <f>+X16-AC16</f>
        <v>12662.655601</v>
      </c>
      <c r="AJ16" s="75">
        <f>+Y16-AD16</f>
        <v>0</v>
      </c>
      <c r="AK16" s="75">
        <f>-AE16</f>
        <v>-9508.6575496500009</v>
      </c>
      <c r="AL16" s="75">
        <f>+Z16-AF16</f>
        <v>22186.852781349997</v>
      </c>
      <c r="AN16" s="111">
        <f>+X16*0.15</f>
        <v>3798.7988401499997</v>
      </c>
    </row>
    <row r="17" spans="1:39" s="58" customFormat="1" ht="54" customHeight="1" x14ac:dyDescent="0.2">
      <c r="A17" s="59" t="s">
        <v>29</v>
      </c>
      <c r="B17" s="60" t="s">
        <v>30</v>
      </c>
      <c r="C17" s="61">
        <v>35.079189999999997</v>
      </c>
      <c r="D17" s="61">
        <v>-85.138220000000004</v>
      </c>
      <c r="E17" s="62" t="s">
        <v>81</v>
      </c>
      <c r="F17" s="61">
        <v>25738</v>
      </c>
      <c r="G17" s="63">
        <v>39777</v>
      </c>
      <c r="H17" s="64" t="s">
        <v>91</v>
      </c>
      <c r="I17" s="65"/>
      <c r="J17" s="61" t="s">
        <v>69</v>
      </c>
      <c r="K17" s="63">
        <v>39765</v>
      </c>
      <c r="L17" s="159" t="s">
        <v>91</v>
      </c>
      <c r="M17" s="65"/>
      <c r="N17" s="66">
        <v>2010</v>
      </c>
      <c r="O17" s="66">
        <v>2038</v>
      </c>
      <c r="P17" s="113">
        <v>2000</v>
      </c>
      <c r="Q17" s="68"/>
      <c r="R17" s="69" t="s">
        <v>195</v>
      </c>
      <c r="S17" s="70">
        <v>1000000000</v>
      </c>
      <c r="T17" s="70"/>
      <c r="U17" s="300">
        <f>4000000+262059888+161967066</f>
        <v>428026954</v>
      </c>
      <c r="V17" s="65"/>
      <c r="W17" s="71">
        <f>+$U17*W$1/100+709479.88</f>
        <v>10455653.622580001</v>
      </c>
      <c r="X17" s="71">
        <f t="shared" si="19"/>
        <v>6484180.3261459991</v>
      </c>
      <c r="Y17" s="71">
        <f t="shared" si="19"/>
        <v>5351621.0058620004</v>
      </c>
      <c r="Z17" s="71">
        <f t="shared" si="1"/>
        <v>22291454.954588</v>
      </c>
      <c r="AA17" s="65"/>
      <c r="AB17" s="72">
        <v>709479.88</v>
      </c>
      <c r="AC17" s="73">
        <v>0</v>
      </c>
      <c r="AD17" s="73">
        <v>4642141.13</v>
      </c>
      <c r="AE17" s="73"/>
      <c r="AF17" s="73">
        <f t="shared" si="2"/>
        <v>5351621.01</v>
      </c>
      <c r="AG17" s="264"/>
      <c r="AH17" s="74">
        <f t="shared" si="3"/>
        <v>9746173.7425800003</v>
      </c>
      <c r="AI17" s="75">
        <f t="shared" si="3"/>
        <v>6484180.3261459991</v>
      </c>
      <c r="AJ17" s="75">
        <f t="shared" si="3"/>
        <v>709479.87586200051</v>
      </c>
      <c r="AK17" s="75">
        <f t="shared" si="4"/>
        <v>0</v>
      </c>
      <c r="AL17" s="75">
        <f t="shared" si="5"/>
        <v>16939833.944587998</v>
      </c>
    </row>
    <row r="18" spans="1:39" s="58" customFormat="1" ht="25.5" customHeight="1" x14ac:dyDescent="0.2">
      <c r="A18" s="235" t="s">
        <v>45</v>
      </c>
      <c r="B18" s="146" t="s">
        <v>88</v>
      </c>
      <c r="C18" s="236">
        <v>35.079189999999997</v>
      </c>
      <c r="D18" s="236">
        <v>-85.138220000000004</v>
      </c>
      <c r="E18" s="151"/>
      <c r="F18" s="61">
        <v>27960</v>
      </c>
      <c r="G18" s="63">
        <v>41849</v>
      </c>
      <c r="H18" s="64" t="s">
        <v>91</v>
      </c>
      <c r="I18" s="65"/>
      <c r="J18" s="61" t="s">
        <v>72</v>
      </c>
      <c r="K18" s="63">
        <v>41843</v>
      </c>
      <c r="L18" s="159" t="s">
        <v>91</v>
      </c>
      <c r="M18" s="65"/>
      <c r="N18" s="66">
        <v>2015</v>
      </c>
      <c r="O18" s="66">
        <v>2038</v>
      </c>
      <c r="P18" s="113">
        <v>2000</v>
      </c>
      <c r="Q18" s="68"/>
      <c r="R18" s="69"/>
      <c r="S18" s="70">
        <v>900000000</v>
      </c>
      <c r="T18" s="70"/>
      <c r="U18" s="300"/>
      <c r="V18" s="65"/>
      <c r="W18" s="71">
        <v>0</v>
      </c>
      <c r="X18" s="71">
        <v>0</v>
      </c>
      <c r="Y18" s="71">
        <v>0</v>
      </c>
      <c r="Z18" s="71">
        <f t="shared" si="1"/>
        <v>0</v>
      </c>
      <c r="AA18" s="65"/>
      <c r="AB18" s="72">
        <v>0</v>
      </c>
      <c r="AC18" s="73">
        <v>0</v>
      </c>
      <c r="AD18" s="73">
        <v>0</v>
      </c>
      <c r="AE18" s="73">
        <v>250000</v>
      </c>
      <c r="AF18" s="73">
        <f t="shared" si="2"/>
        <v>250000</v>
      </c>
      <c r="AG18" s="264"/>
      <c r="AH18" s="74">
        <f t="shared" si="3"/>
        <v>0</v>
      </c>
      <c r="AI18" s="75">
        <f t="shared" si="3"/>
        <v>0</v>
      </c>
      <c r="AJ18" s="75">
        <f t="shared" si="3"/>
        <v>0</v>
      </c>
      <c r="AK18" s="75">
        <f t="shared" si="4"/>
        <v>-250000</v>
      </c>
      <c r="AL18" s="75">
        <f t="shared" si="5"/>
        <v>-250000</v>
      </c>
    </row>
    <row r="19" spans="1:39" s="58" customFormat="1" ht="25.5" x14ac:dyDescent="0.2">
      <c r="A19" s="230" t="s">
        <v>123</v>
      </c>
      <c r="B19" s="146" t="s">
        <v>159</v>
      </c>
      <c r="C19" s="229"/>
      <c r="D19" s="229"/>
      <c r="E19" s="151" t="s">
        <v>158</v>
      </c>
      <c r="F19" s="61">
        <v>28501</v>
      </c>
      <c r="G19" s="63">
        <v>42388</v>
      </c>
      <c r="H19" s="107" t="s">
        <v>91</v>
      </c>
      <c r="I19" s="65"/>
      <c r="J19" s="61" t="s">
        <v>124</v>
      </c>
      <c r="K19" s="63">
        <v>42389</v>
      </c>
      <c r="L19" s="157" t="s">
        <v>91</v>
      </c>
      <c r="M19" s="65"/>
      <c r="N19" s="66">
        <v>2017</v>
      </c>
      <c r="O19" s="66">
        <v>2030</v>
      </c>
      <c r="P19" s="98">
        <v>325</v>
      </c>
      <c r="Q19" s="68">
        <v>50000</v>
      </c>
      <c r="R19" s="69" t="s">
        <v>196</v>
      </c>
      <c r="S19" s="70">
        <v>48000000</v>
      </c>
      <c r="T19" s="70"/>
      <c r="U19" s="300">
        <v>3731498</v>
      </c>
      <c r="V19" s="65"/>
      <c r="W19" s="193">
        <f t="shared" ref="W19:Y19" si="21">+$U19*W$1/100</f>
        <v>84966.209459999998</v>
      </c>
      <c r="X19" s="193">
        <f t="shared" si="21"/>
        <v>56528.463201999999</v>
      </c>
      <c r="Y19" s="193">
        <f t="shared" si="21"/>
        <v>46654.919494000002</v>
      </c>
      <c r="Z19" s="193">
        <f t="shared" ref="Z19" si="22">+W19+X19+Y19</f>
        <v>188149.592156</v>
      </c>
      <c r="AA19" s="65"/>
      <c r="AB19" s="287">
        <f>W19*0.716</f>
        <v>60835.805973359995</v>
      </c>
      <c r="AC19" s="73">
        <f>X19*0.716</f>
        <v>40474.379652632</v>
      </c>
      <c r="AD19" s="73">
        <f>Y19</f>
        <v>46654.919494000002</v>
      </c>
      <c r="AE19" s="286">
        <f>W19*0.15</f>
        <v>12744.931418999999</v>
      </c>
      <c r="AF19" s="73">
        <f>SUM(AB19:AE19)</f>
        <v>160710.03653899199</v>
      </c>
      <c r="AG19" s="264"/>
      <c r="AH19" s="195">
        <f t="shared" ref="AH19" si="23">+W19-AB19</f>
        <v>24130.403486640003</v>
      </c>
      <c r="AI19" s="194">
        <f t="shared" ref="AI19:AJ19" si="24">+X19-AC19</f>
        <v>16054.083549367999</v>
      </c>
      <c r="AJ19" s="194">
        <f t="shared" si="24"/>
        <v>0</v>
      </c>
      <c r="AK19" s="194">
        <f t="shared" ref="AK19" si="25">-AE19</f>
        <v>-12744.931418999999</v>
      </c>
      <c r="AL19" s="194">
        <f t="shared" ref="AL19" si="26">+Z19-AF19</f>
        <v>27439.555617008009</v>
      </c>
    </row>
    <row r="20" spans="1:39" s="123" customFormat="1" ht="38.25" customHeight="1" x14ac:dyDescent="0.25">
      <c r="A20" s="270" t="s">
        <v>56</v>
      </c>
      <c r="B20" s="115"/>
      <c r="C20" s="115"/>
      <c r="D20" s="115"/>
      <c r="E20" s="115"/>
      <c r="F20" s="115"/>
      <c r="G20" s="116"/>
      <c r="H20" s="116"/>
      <c r="I20" s="117"/>
      <c r="J20" s="115"/>
      <c r="K20" s="116"/>
      <c r="L20" s="116"/>
      <c r="M20" s="117"/>
      <c r="N20" s="115"/>
      <c r="O20" s="115"/>
      <c r="P20" s="115"/>
      <c r="Q20" s="118"/>
      <c r="R20" s="119"/>
      <c r="S20" s="117"/>
      <c r="T20" s="117"/>
      <c r="U20" s="249"/>
      <c r="V20" s="117"/>
      <c r="W20" s="120"/>
      <c r="X20" s="120"/>
      <c r="Y20" s="120"/>
      <c r="Z20" s="117"/>
      <c r="AA20" s="117"/>
      <c r="AB20" s="120"/>
      <c r="AC20" s="120"/>
      <c r="AD20" s="311"/>
      <c r="AE20" s="121"/>
      <c r="AF20" s="117"/>
      <c r="AG20" s="117"/>
      <c r="AH20" s="117"/>
      <c r="AI20" s="117"/>
      <c r="AJ20" s="117"/>
      <c r="AK20" s="117"/>
      <c r="AL20" s="117"/>
      <c r="AM20" s="122"/>
    </row>
    <row r="21" spans="1:39" s="58" customFormat="1" ht="25.5" customHeight="1" x14ac:dyDescent="0.2">
      <c r="A21" s="375" t="s">
        <v>100</v>
      </c>
      <c r="B21" s="384" t="s">
        <v>12</v>
      </c>
      <c r="C21" s="61">
        <v>35.074481900000002</v>
      </c>
      <c r="D21" s="61">
        <v>-85.156702999999993</v>
      </c>
      <c r="E21" s="385" t="s">
        <v>177</v>
      </c>
      <c r="F21" s="386">
        <v>26356</v>
      </c>
      <c r="G21" s="388">
        <v>40365</v>
      </c>
      <c r="H21" s="359" t="s">
        <v>91</v>
      </c>
      <c r="I21" s="128"/>
      <c r="J21" s="129" t="s">
        <v>112</v>
      </c>
      <c r="K21" s="130">
        <v>40129</v>
      </c>
      <c r="L21" s="244" t="s">
        <v>91</v>
      </c>
      <c r="M21" s="128"/>
      <c r="N21" s="351">
        <v>2011</v>
      </c>
      <c r="O21" s="351">
        <v>2024</v>
      </c>
      <c r="P21" s="352">
        <v>230</v>
      </c>
      <c r="Q21" s="353">
        <v>38247</v>
      </c>
      <c r="R21" s="132"/>
      <c r="S21" s="354">
        <v>90300000</v>
      </c>
      <c r="T21" s="70"/>
      <c r="U21" s="355">
        <f>20383400+3006586</f>
        <v>23389986</v>
      </c>
      <c r="V21" s="128"/>
      <c r="W21" s="332">
        <f t="shared" ref="W21:Y31" si="27">+$U21*W$1/100</f>
        <v>532589.98121999996</v>
      </c>
      <c r="X21" s="332">
        <f t="shared" si="27"/>
        <v>354334.89791400003</v>
      </c>
      <c r="Y21" s="332">
        <f t="shared" si="27"/>
        <v>292444.99495800002</v>
      </c>
      <c r="Z21" s="332">
        <f t="shared" ref="Z21:Z31" si="28">+W21+X21+Y21</f>
        <v>1179369.8740920001</v>
      </c>
      <c r="AA21" s="128"/>
      <c r="AB21" s="356">
        <f>245652.8+36234.22</f>
        <v>281887.02</v>
      </c>
      <c r="AC21" s="357">
        <f>163434.09+24106.82</f>
        <v>187540.91</v>
      </c>
      <c r="AD21" s="339">
        <f>Y21</f>
        <v>292444.99495800002</v>
      </c>
      <c r="AE21" s="339"/>
      <c r="AF21" s="339">
        <f t="shared" ref="AF21:AF26" si="29">+AB21+AC21+AD21+AE21</f>
        <v>761872.92495800008</v>
      </c>
      <c r="AG21" s="268"/>
      <c r="AH21" s="341">
        <f t="shared" ref="AH21:AJ21" si="30">+W21-AB21</f>
        <v>250702.96121999994</v>
      </c>
      <c r="AI21" s="335">
        <f t="shared" si="30"/>
        <v>166793.98791400003</v>
      </c>
      <c r="AJ21" s="335">
        <f t="shared" si="30"/>
        <v>0</v>
      </c>
      <c r="AK21" s="335">
        <f t="shared" ref="AK21" si="31">-AE21</f>
        <v>0</v>
      </c>
      <c r="AL21" s="335">
        <f t="shared" ref="AL21" si="32">+Z21-AF21</f>
        <v>417496.94913399999</v>
      </c>
      <c r="AM21" s="110"/>
    </row>
    <row r="22" spans="1:39" s="58" customFormat="1" ht="25.5" customHeight="1" x14ac:dyDescent="0.2">
      <c r="A22" s="375"/>
      <c r="B22" s="384"/>
      <c r="C22" s="61"/>
      <c r="D22" s="61"/>
      <c r="E22" s="385"/>
      <c r="F22" s="387"/>
      <c r="G22" s="389"/>
      <c r="H22" s="360"/>
      <c r="I22" s="85"/>
      <c r="J22" s="82" t="s">
        <v>111</v>
      </c>
      <c r="K22" s="233">
        <v>40366</v>
      </c>
      <c r="L22" s="246" t="s">
        <v>91</v>
      </c>
      <c r="M22" s="85"/>
      <c r="N22" s="376"/>
      <c r="O22" s="376"/>
      <c r="P22" s="377"/>
      <c r="Q22" s="378"/>
      <c r="R22" s="164"/>
      <c r="S22" s="379"/>
      <c r="T22" s="289"/>
      <c r="U22" s="380"/>
      <c r="V22" s="85"/>
      <c r="W22" s="381"/>
      <c r="X22" s="381"/>
      <c r="Y22" s="381"/>
      <c r="Z22" s="381"/>
      <c r="AA22" s="85"/>
      <c r="AB22" s="382"/>
      <c r="AC22" s="361"/>
      <c r="AD22" s="362"/>
      <c r="AE22" s="362"/>
      <c r="AF22" s="362"/>
      <c r="AG22" s="85"/>
      <c r="AH22" s="363"/>
      <c r="AI22" s="383"/>
      <c r="AJ22" s="383"/>
      <c r="AK22" s="383"/>
      <c r="AL22" s="383"/>
      <c r="AM22" s="110"/>
    </row>
    <row r="23" spans="1:39" s="58" customFormat="1" ht="25.5" customHeight="1" x14ac:dyDescent="0.2">
      <c r="A23" s="394" t="s">
        <v>186</v>
      </c>
      <c r="B23" s="394" t="s">
        <v>116</v>
      </c>
      <c r="C23" s="288"/>
      <c r="D23" s="288"/>
      <c r="E23" s="397" t="s">
        <v>189</v>
      </c>
      <c r="F23" s="81">
        <v>28301</v>
      </c>
      <c r="G23" s="83">
        <v>42185</v>
      </c>
      <c r="H23" s="292" t="s">
        <v>91</v>
      </c>
      <c r="I23" s="85"/>
      <c r="J23" s="82" t="s">
        <v>108</v>
      </c>
      <c r="K23" s="233">
        <v>42186</v>
      </c>
      <c r="L23" s="246" t="s">
        <v>91</v>
      </c>
      <c r="M23" s="85"/>
      <c r="N23" s="369">
        <v>2017</v>
      </c>
      <c r="O23" s="369">
        <v>2029</v>
      </c>
      <c r="P23" s="371">
        <f>374+150</f>
        <v>524</v>
      </c>
      <c r="Q23" s="325"/>
      <c r="R23" s="373" t="s">
        <v>203</v>
      </c>
      <c r="S23" s="327">
        <f>140900000+48000000</f>
        <v>188900000</v>
      </c>
      <c r="T23" s="290"/>
      <c r="U23" s="329">
        <f>4659520+5125920+8613932+7750937</f>
        <v>26150309</v>
      </c>
      <c r="V23" s="85"/>
      <c r="W23" s="364">
        <f t="shared" si="27"/>
        <v>595442.53593000001</v>
      </c>
      <c r="X23" s="364">
        <f t="shared" si="27"/>
        <v>396151.03104099998</v>
      </c>
      <c r="Y23" s="364">
        <f t="shared" si="27"/>
        <v>326957.31342700002</v>
      </c>
      <c r="Z23" s="364">
        <f t="shared" ref="Z23" si="33">+W23+X23+Y23</f>
        <v>1318550.8803980001</v>
      </c>
      <c r="AA23" s="234"/>
      <c r="AB23" s="391">
        <f>W23*0.4</f>
        <v>238177.01437200001</v>
      </c>
      <c r="AC23" s="365">
        <f>X23*0.4</f>
        <v>158460.41241640001</v>
      </c>
      <c r="AD23" s="336">
        <f>Y23</f>
        <v>326957.31342700002</v>
      </c>
      <c r="AE23" s="336">
        <f>SUM(X23:Y24)*0.1253+SUM(W23*0.15)</f>
        <v>179921.8559513404</v>
      </c>
      <c r="AF23" s="367">
        <f t="shared" si="29"/>
        <v>903516.5961667404</v>
      </c>
      <c r="AG23" s="234"/>
      <c r="AH23" s="368">
        <f t="shared" ref="AH23" si="34">+W23-AB23</f>
        <v>357265.52155800001</v>
      </c>
      <c r="AI23" s="390">
        <f t="shared" ref="AI23" si="35">+X23-AC23</f>
        <v>237690.61862459997</v>
      </c>
      <c r="AJ23" s="390">
        <f t="shared" ref="AJ23" si="36">+Y23-AD23</f>
        <v>0</v>
      </c>
      <c r="AK23" s="390">
        <f t="shared" ref="AK23" si="37">-AE23</f>
        <v>-179921.8559513404</v>
      </c>
      <c r="AL23" s="390">
        <f t="shared" ref="AL23" si="38">+Z23-AF23</f>
        <v>415034.28423125972</v>
      </c>
      <c r="AM23" s="110"/>
    </row>
    <row r="24" spans="1:39" s="58" customFormat="1" ht="25.5" customHeight="1" x14ac:dyDescent="0.2">
      <c r="A24" s="395"/>
      <c r="B24" s="395"/>
      <c r="C24" s="288"/>
      <c r="D24" s="288"/>
      <c r="E24" s="398"/>
      <c r="F24" s="81">
        <v>28424</v>
      </c>
      <c r="G24" s="83">
        <v>42290</v>
      </c>
      <c r="H24" s="292" t="s">
        <v>91</v>
      </c>
      <c r="I24" s="85"/>
      <c r="J24" s="82" t="s">
        <v>115</v>
      </c>
      <c r="K24" s="233">
        <v>42283</v>
      </c>
      <c r="L24" s="246" t="s">
        <v>91</v>
      </c>
      <c r="M24" s="85"/>
      <c r="N24" s="369"/>
      <c r="O24" s="369"/>
      <c r="P24" s="371"/>
      <c r="Q24" s="325"/>
      <c r="R24" s="373"/>
      <c r="S24" s="327"/>
      <c r="T24" s="289"/>
      <c r="U24" s="329"/>
      <c r="V24" s="85"/>
      <c r="W24" s="364"/>
      <c r="X24" s="364"/>
      <c r="Y24" s="364"/>
      <c r="Z24" s="364"/>
      <c r="AA24" s="234"/>
      <c r="AB24" s="391"/>
      <c r="AC24" s="365"/>
      <c r="AD24" s="336"/>
      <c r="AE24" s="336"/>
      <c r="AF24" s="367"/>
      <c r="AG24" s="234"/>
      <c r="AH24" s="368"/>
      <c r="AI24" s="390"/>
      <c r="AJ24" s="390"/>
      <c r="AK24" s="390"/>
      <c r="AL24" s="390"/>
      <c r="AM24" s="110"/>
    </row>
    <row r="25" spans="1:39" s="58" customFormat="1" ht="25.5" customHeight="1" x14ac:dyDescent="0.2">
      <c r="A25" s="396"/>
      <c r="B25" s="396"/>
      <c r="C25" s="288"/>
      <c r="D25" s="288"/>
      <c r="E25" s="399"/>
      <c r="F25" s="42">
        <v>29847</v>
      </c>
      <c r="G25" s="44">
        <v>43543</v>
      </c>
      <c r="H25" s="140" t="s">
        <v>91</v>
      </c>
      <c r="I25" s="291"/>
      <c r="J25" s="43" t="s">
        <v>202</v>
      </c>
      <c r="K25" s="139">
        <v>43544</v>
      </c>
      <c r="L25" s="245" t="s">
        <v>91</v>
      </c>
      <c r="M25" s="291"/>
      <c r="N25" s="370"/>
      <c r="O25" s="370"/>
      <c r="P25" s="372"/>
      <c r="Q25" s="326"/>
      <c r="R25" s="374"/>
      <c r="S25" s="328"/>
      <c r="T25" s="290"/>
      <c r="U25" s="330"/>
      <c r="V25" s="291"/>
      <c r="W25" s="331"/>
      <c r="X25" s="331"/>
      <c r="Y25" s="331"/>
      <c r="Z25" s="331"/>
      <c r="AA25" s="141"/>
      <c r="AB25" s="392"/>
      <c r="AC25" s="366"/>
      <c r="AD25" s="337"/>
      <c r="AE25" s="337"/>
      <c r="AF25" s="338"/>
      <c r="AG25" s="141"/>
      <c r="AH25" s="340"/>
      <c r="AI25" s="334"/>
      <c r="AJ25" s="334"/>
      <c r="AK25" s="334"/>
      <c r="AL25" s="334"/>
      <c r="AM25" s="110"/>
    </row>
    <row r="26" spans="1:39" s="58" customFormat="1" ht="25.5" customHeight="1" x14ac:dyDescent="0.2">
      <c r="A26" s="395" t="s">
        <v>180</v>
      </c>
      <c r="B26" s="395" t="s">
        <v>181</v>
      </c>
      <c r="C26" s="298"/>
      <c r="D26" s="298"/>
      <c r="E26" s="398" t="s">
        <v>183</v>
      </c>
      <c r="F26" s="81">
        <v>29248</v>
      </c>
      <c r="G26" s="83">
        <v>43060</v>
      </c>
      <c r="H26" s="292" t="s">
        <v>91</v>
      </c>
      <c r="I26" s="85"/>
      <c r="J26" s="82" t="s">
        <v>182</v>
      </c>
      <c r="K26" s="233">
        <v>43054</v>
      </c>
      <c r="L26" s="285" t="s">
        <v>91</v>
      </c>
      <c r="M26" s="85"/>
      <c r="N26" s="369">
        <v>2019</v>
      </c>
      <c r="O26" s="369">
        <v>2025</v>
      </c>
      <c r="P26" s="323">
        <v>110</v>
      </c>
      <c r="Q26" s="325"/>
      <c r="R26" s="164"/>
      <c r="S26" s="327">
        <v>42700000</v>
      </c>
      <c r="T26" s="290"/>
      <c r="U26" s="329">
        <f>96400+21840+2620763+1816876</f>
        <v>4555879</v>
      </c>
      <c r="V26" s="85"/>
      <c r="W26" s="331">
        <f t="shared" si="27"/>
        <v>103737.36483000001</v>
      </c>
      <c r="X26" s="331">
        <f t="shared" si="27"/>
        <v>69017.010970999996</v>
      </c>
      <c r="Y26" s="331">
        <f t="shared" si="27"/>
        <v>56962.155137000002</v>
      </c>
      <c r="Z26" s="331">
        <f t="shared" ref="Z26" si="39">+W26+X26+Y26</f>
        <v>229716.53093799998</v>
      </c>
      <c r="AA26" s="234"/>
      <c r="AB26" s="392">
        <v>0</v>
      </c>
      <c r="AC26" s="365">
        <v>0</v>
      </c>
      <c r="AD26" s="336">
        <f>Y26</f>
        <v>56962.155137000002</v>
      </c>
      <c r="AE26" s="336">
        <f>SUM(X26)*0.15+SUM(W26*0.15)</f>
        <v>25913.156370149998</v>
      </c>
      <c r="AF26" s="338">
        <f t="shared" si="29"/>
        <v>82875.311507150007</v>
      </c>
      <c r="AG26" s="234"/>
      <c r="AH26" s="340">
        <f t="shared" ref="AH26" si="40">+W26-AB26</f>
        <v>103737.36483000001</v>
      </c>
      <c r="AI26" s="334">
        <f t="shared" ref="AI26" si="41">+X26-AC26</f>
        <v>69017.010970999996</v>
      </c>
      <c r="AJ26" s="334">
        <f t="shared" ref="AJ26" si="42">+Y26-AD26</f>
        <v>0</v>
      </c>
      <c r="AK26" s="334">
        <f t="shared" ref="AK26" si="43">-AE26</f>
        <v>-25913.156370149998</v>
      </c>
      <c r="AL26" s="334">
        <f t="shared" ref="AL26" si="44">+Z26-AF26</f>
        <v>146841.21943084997</v>
      </c>
      <c r="AM26" s="110"/>
    </row>
    <row r="27" spans="1:39" s="58" customFormat="1" ht="25.5" customHeight="1" x14ac:dyDescent="0.2">
      <c r="A27" s="396"/>
      <c r="B27" s="396"/>
      <c r="C27" s="297"/>
      <c r="D27" s="297"/>
      <c r="E27" s="399"/>
      <c r="F27" s="42"/>
      <c r="G27" s="44"/>
      <c r="H27" s="140"/>
      <c r="I27" s="85"/>
      <c r="J27" s="82"/>
      <c r="K27" s="233"/>
      <c r="L27" s="246"/>
      <c r="M27" s="85"/>
      <c r="N27" s="370"/>
      <c r="O27" s="370"/>
      <c r="P27" s="324"/>
      <c r="Q27" s="326"/>
      <c r="R27" s="164"/>
      <c r="S27" s="328"/>
      <c r="T27" s="232"/>
      <c r="U27" s="330"/>
      <c r="V27" s="85"/>
      <c r="W27" s="332"/>
      <c r="X27" s="332"/>
      <c r="Y27" s="332"/>
      <c r="Z27" s="332"/>
      <c r="AA27" s="234"/>
      <c r="AB27" s="400"/>
      <c r="AC27" s="366"/>
      <c r="AD27" s="337"/>
      <c r="AE27" s="337">
        <f t="shared" ref="AE27" si="45">SUM(X27*0.15)+SUM(W27*0.15)</f>
        <v>0</v>
      </c>
      <c r="AF27" s="339"/>
      <c r="AG27" s="234"/>
      <c r="AH27" s="341"/>
      <c r="AI27" s="335"/>
      <c r="AJ27" s="335"/>
      <c r="AK27" s="335"/>
      <c r="AL27" s="335"/>
      <c r="AM27" s="110"/>
    </row>
    <row r="28" spans="1:39" s="58" customFormat="1" ht="25.5" customHeight="1" x14ac:dyDescent="0.2">
      <c r="A28" s="393" t="s">
        <v>20</v>
      </c>
      <c r="B28" s="384" t="s">
        <v>21</v>
      </c>
      <c r="C28" s="61">
        <v>35.072987400000002</v>
      </c>
      <c r="D28" s="61">
        <v>-85.275501800000001</v>
      </c>
      <c r="E28" s="385" t="s">
        <v>82</v>
      </c>
      <c r="F28" s="386">
        <v>25672</v>
      </c>
      <c r="G28" s="388">
        <v>39721</v>
      </c>
      <c r="H28" s="350" t="s">
        <v>91</v>
      </c>
      <c r="I28" s="128"/>
      <c r="J28" s="130" t="s">
        <v>114</v>
      </c>
      <c r="K28" s="130">
        <v>39526</v>
      </c>
      <c r="L28" s="244" t="s">
        <v>91</v>
      </c>
      <c r="M28" s="128"/>
      <c r="N28" s="351">
        <v>2009</v>
      </c>
      <c r="O28" s="351">
        <v>2019</v>
      </c>
      <c r="P28" s="352">
        <v>52</v>
      </c>
      <c r="Q28" s="353">
        <v>85000</v>
      </c>
      <c r="R28" s="132"/>
      <c r="S28" s="354">
        <f>16700000+4500000</f>
        <v>21200000</v>
      </c>
      <c r="T28" s="70"/>
      <c r="U28" s="355">
        <f>2134840+1499000+368300</f>
        <v>4002140</v>
      </c>
      <c r="V28" s="128"/>
      <c r="W28" s="332">
        <f t="shared" si="27"/>
        <v>91128.727800000008</v>
      </c>
      <c r="X28" s="332">
        <f t="shared" si="27"/>
        <v>60628.418859999998</v>
      </c>
      <c r="Y28" s="332">
        <f>ROUND(+$U28*Y$1/100,0)</f>
        <v>50039</v>
      </c>
      <c r="Z28" s="332">
        <f t="shared" si="28"/>
        <v>201796.14666</v>
      </c>
      <c r="AA28" s="128"/>
      <c r="AB28" s="356">
        <f>24305.16+34132.23+4193.1</f>
        <v>62630.49</v>
      </c>
      <c r="AC28" s="357">
        <f>16170.35+2789.69+41450.35*X1/(X1+Y1)</f>
        <v>41668.392095689283</v>
      </c>
      <c r="AD28" s="358">
        <f>ROUND(26691.9+4604.85+41450.35*Y1/(X1+Y1),0)</f>
        <v>50039</v>
      </c>
      <c r="AE28" s="339"/>
      <c r="AF28" s="339">
        <f>+AB28+AC28+AD28+AE28</f>
        <v>154337.88209568927</v>
      </c>
      <c r="AG28" s="268"/>
      <c r="AH28" s="341">
        <f t="shared" ref="AH28:AJ31" si="46">+W28-AB28</f>
        <v>28498.23780000001</v>
      </c>
      <c r="AI28" s="335">
        <f t="shared" si="46"/>
        <v>18960.026764310714</v>
      </c>
      <c r="AJ28" s="342">
        <f t="shared" si="46"/>
        <v>0</v>
      </c>
      <c r="AK28" s="335">
        <f>-AE28</f>
        <v>0</v>
      </c>
      <c r="AL28" s="335">
        <f>+Z28-AF28</f>
        <v>47458.264564310724</v>
      </c>
      <c r="AM28" s="145"/>
    </row>
    <row r="29" spans="1:39" s="58" customFormat="1" ht="25.5" customHeight="1" x14ac:dyDescent="0.2">
      <c r="A29" s="393"/>
      <c r="B29" s="384"/>
      <c r="C29" s="61"/>
      <c r="D29" s="61"/>
      <c r="E29" s="385"/>
      <c r="F29" s="386"/>
      <c r="G29" s="388"/>
      <c r="H29" s="350"/>
      <c r="I29" s="46"/>
      <c r="J29" s="139" t="s">
        <v>113</v>
      </c>
      <c r="K29" s="139">
        <v>39708</v>
      </c>
      <c r="L29" s="245" t="s">
        <v>91</v>
      </c>
      <c r="M29" s="46"/>
      <c r="N29" s="351"/>
      <c r="O29" s="351"/>
      <c r="P29" s="352"/>
      <c r="Q29" s="353"/>
      <c r="R29" s="50"/>
      <c r="S29" s="354"/>
      <c r="T29" s="70"/>
      <c r="U29" s="355"/>
      <c r="V29" s="46"/>
      <c r="W29" s="332"/>
      <c r="X29" s="332"/>
      <c r="Y29" s="332"/>
      <c r="Z29" s="332"/>
      <c r="AA29" s="46"/>
      <c r="AB29" s="356"/>
      <c r="AC29" s="357"/>
      <c r="AD29" s="358"/>
      <c r="AE29" s="339"/>
      <c r="AF29" s="339"/>
      <c r="AG29" s="269"/>
      <c r="AH29" s="341"/>
      <c r="AI29" s="335"/>
      <c r="AJ29" s="342"/>
      <c r="AK29" s="335"/>
      <c r="AL29" s="335"/>
      <c r="AM29" s="145"/>
    </row>
    <row r="30" spans="1:39" s="58" customFormat="1" ht="25.5" customHeight="1" x14ac:dyDescent="0.2">
      <c r="A30" s="59" t="s">
        <v>22</v>
      </c>
      <c r="B30" s="60" t="s">
        <v>23</v>
      </c>
      <c r="C30" s="61">
        <v>35.057448999999998</v>
      </c>
      <c r="D30" s="61">
        <v>-85.196417699999998</v>
      </c>
      <c r="E30" s="62" t="s">
        <v>213</v>
      </c>
      <c r="F30" s="61">
        <v>24923</v>
      </c>
      <c r="G30" s="63">
        <v>39014</v>
      </c>
      <c r="H30" s="64" t="s">
        <v>91</v>
      </c>
      <c r="I30" s="65"/>
      <c r="J30" s="61" t="s">
        <v>71</v>
      </c>
      <c r="K30" s="63">
        <v>39008</v>
      </c>
      <c r="L30" s="159" t="s">
        <v>91</v>
      </c>
      <c r="M30" s="65"/>
      <c r="N30" s="66">
        <v>2007</v>
      </c>
      <c r="O30" s="66">
        <v>2018</v>
      </c>
      <c r="P30" s="98">
        <v>150</v>
      </c>
      <c r="Q30" s="68">
        <v>49000</v>
      </c>
      <c r="R30" s="69"/>
      <c r="S30" s="70">
        <f>18000000+5000000</f>
        <v>23000000</v>
      </c>
      <c r="T30" s="70"/>
      <c r="U30" s="300">
        <v>1096120</v>
      </c>
      <c r="V30" s="65"/>
      <c r="W30" s="71">
        <f t="shared" si="27"/>
        <v>24958.652400000003</v>
      </c>
      <c r="X30" s="71">
        <f t="shared" si="27"/>
        <v>16605.121879999999</v>
      </c>
      <c r="Y30" s="71">
        <f t="shared" si="27"/>
        <v>13704.788359999999</v>
      </c>
      <c r="Z30" s="71">
        <f t="shared" si="28"/>
        <v>55268.562639999996</v>
      </c>
      <c r="AA30" s="65"/>
      <c r="AB30" s="78">
        <f>W30</f>
        <v>24958.652400000003</v>
      </c>
      <c r="AC30" s="77">
        <f>X30</f>
        <v>16605.121879999999</v>
      </c>
      <c r="AD30" s="77">
        <f>Y30</f>
        <v>13704.788359999999</v>
      </c>
      <c r="AE30" s="73"/>
      <c r="AF30" s="73">
        <f>+AB30+AC30+AD30+AE30</f>
        <v>55268.562639999996</v>
      </c>
      <c r="AG30" s="264"/>
      <c r="AH30" s="74">
        <f t="shared" si="46"/>
        <v>0</v>
      </c>
      <c r="AI30" s="75">
        <f t="shared" si="46"/>
        <v>0</v>
      </c>
      <c r="AJ30" s="75">
        <f t="shared" si="46"/>
        <v>0</v>
      </c>
      <c r="AK30" s="75">
        <f>-AE30</f>
        <v>0</v>
      </c>
      <c r="AL30" s="75">
        <f>+Z30-AF30</f>
        <v>0</v>
      </c>
      <c r="AM30" s="145"/>
    </row>
    <row r="31" spans="1:39" s="58" customFormat="1" ht="26.25" customHeight="1" x14ac:dyDescent="0.2">
      <c r="A31" s="59" t="s">
        <v>22</v>
      </c>
      <c r="B31" s="60" t="s">
        <v>23</v>
      </c>
      <c r="C31" s="61"/>
      <c r="D31" s="61"/>
      <c r="E31" s="62" t="s">
        <v>83</v>
      </c>
      <c r="F31" s="61">
        <v>26441</v>
      </c>
      <c r="G31" s="63">
        <v>40442</v>
      </c>
      <c r="H31" s="64" t="s">
        <v>91</v>
      </c>
      <c r="I31" s="65"/>
      <c r="J31" s="61" t="s">
        <v>70</v>
      </c>
      <c r="K31" s="63">
        <v>40457</v>
      </c>
      <c r="L31" s="159" t="s">
        <v>91</v>
      </c>
      <c r="M31" s="65"/>
      <c r="N31" s="66">
        <v>2011</v>
      </c>
      <c r="O31" s="66">
        <v>2023</v>
      </c>
      <c r="P31" s="98">
        <v>54</v>
      </c>
      <c r="Q31" s="68">
        <v>69500</v>
      </c>
      <c r="R31" s="69"/>
      <c r="S31" s="70">
        <f>18800000+4300000</f>
        <v>23100000</v>
      </c>
      <c r="T31" s="70"/>
      <c r="U31" s="300">
        <f>757800+421356</f>
        <v>1179156</v>
      </c>
      <c r="V31" s="65"/>
      <c r="W31" s="71">
        <f t="shared" si="27"/>
        <v>26849.382120000002</v>
      </c>
      <c r="X31" s="71">
        <f t="shared" si="27"/>
        <v>17863.034243999999</v>
      </c>
      <c r="Y31" s="71">
        <f>ROUND(+$U31*Y$1/100,2)</f>
        <v>14742.99</v>
      </c>
      <c r="Z31" s="71">
        <f t="shared" si="28"/>
        <v>59455.406364000002</v>
      </c>
      <c r="AA31" s="65"/>
      <c r="AB31" s="72">
        <v>0</v>
      </c>
      <c r="AC31" s="73">
        <v>0</v>
      </c>
      <c r="AD31" s="73">
        <f>9474.77+5268.21</f>
        <v>14742.98</v>
      </c>
      <c r="AE31" s="73"/>
      <c r="AF31" s="73">
        <f>+AB31+AC31+AD31+AE31</f>
        <v>14742.98</v>
      </c>
      <c r="AG31" s="264"/>
      <c r="AH31" s="74">
        <f t="shared" si="46"/>
        <v>26849.382120000002</v>
      </c>
      <c r="AI31" s="75">
        <f t="shared" si="46"/>
        <v>17863.034243999999</v>
      </c>
      <c r="AJ31" s="75">
        <f t="shared" si="46"/>
        <v>1.0000000000218279E-2</v>
      </c>
      <c r="AK31" s="75">
        <f>-AE31</f>
        <v>0</v>
      </c>
      <c r="AL31" s="75">
        <f>+Z31-AF31</f>
        <v>44712.426363999999</v>
      </c>
    </row>
    <row r="32" spans="1:39" s="58" customFormat="1" ht="26.25" customHeight="1" x14ac:dyDescent="0.2">
      <c r="A32" s="59"/>
      <c r="B32" s="60"/>
      <c r="C32" s="61"/>
      <c r="D32" s="61"/>
      <c r="E32" s="62"/>
      <c r="F32" s="61"/>
      <c r="G32" s="63"/>
      <c r="H32" s="64"/>
      <c r="I32" s="65"/>
      <c r="J32" s="61"/>
      <c r="K32" s="63"/>
      <c r="L32" s="159"/>
      <c r="M32" s="65"/>
      <c r="N32" s="66"/>
      <c r="O32" s="66"/>
      <c r="P32" s="98"/>
      <c r="Q32" s="68"/>
      <c r="R32" s="69"/>
      <c r="S32" s="70"/>
      <c r="T32" s="70"/>
      <c r="U32" s="300"/>
      <c r="V32" s="65"/>
      <c r="W32" s="71"/>
      <c r="X32" s="71"/>
      <c r="Y32" s="71"/>
      <c r="Z32" s="71"/>
      <c r="AA32" s="65"/>
      <c r="AB32" s="72"/>
      <c r="AC32" s="73"/>
      <c r="AD32" s="73"/>
      <c r="AE32" s="73"/>
      <c r="AF32" s="73"/>
      <c r="AG32" s="264"/>
      <c r="AH32" s="74"/>
      <c r="AI32" s="75"/>
      <c r="AJ32" s="75"/>
      <c r="AK32" s="75"/>
      <c r="AL32" s="75"/>
    </row>
    <row r="33" spans="1:45" s="58" customFormat="1" ht="26.25" customHeight="1" x14ac:dyDescent="0.2">
      <c r="A33" s="59" t="s">
        <v>94</v>
      </c>
      <c r="B33" s="146" t="s">
        <v>92</v>
      </c>
      <c r="C33" s="60"/>
      <c r="D33" s="60"/>
      <c r="E33" s="62" t="s">
        <v>77</v>
      </c>
      <c r="F33" s="61">
        <v>293</v>
      </c>
      <c r="G33" s="63" t="s">
        <v>87</v>
      </c>
      <c r="H33" s="64" t="s">
        <v>91</v>
      </c>
      <c r="I33" s="65"/>
      <c r="J33" s="61" t="s">
        <v>60</v>
      </c>
      <c r="K33" s="63">
        <v>38903</v>
      </c>
      <c r="L33" s="159" t="s">
        <v>91</v>
      </c>
      <c r="M33" s="65"/>
      <c r="N33" s="66">
        <v>2009</v>
      </c>
      <c r="O33" s="66">
        <v>2019</v>
      </c>
      <c r="P33" s="60">
        <v>175</v>
      </c>
      <c r="Q33" s="147">
        <v>36800</v>
      </c>
      <c r="R33" s="148"/>
      <c r="S33" s="149">
        <f>17000000+58000000</f>
        <v>75000000</v>
      </c>
      <c r="T33" s="149"/>
      <c r="U33" s="300">
        <f>3117353+3961000</f>
        <v>7078353</v>
      </c>
      <c r="V33" s="65"/>
      <c r="W33" s="71">
        <f>+$U33*1.65/100</f>
        <v>116792.82449999999</v>
      </c>
      <c r="X33" s="71">
        <f>+$U33*X$1/100</f>
        <v>107229.96959699999</v>
      </c>
      <c r="Y33" s="71">
        <f>+$U33*Y$1/100</f>
        <v>88500.64755899999</v>
      </c>
      <c r="Z33" s="71">
        <f>+W33+X33+Y33</f>
        <v>312523.44165599998</v>
      </c>
      <c r="AA33" s="65"/>
      <c r="AB33" s="150">
        <f>W33/2</f>
        <v>58396.412249999994</v>
      </c>
      <c r="AC33" s="150">
        <f>X33/2</f>
        <v>53614.984798499994</v>
      </c>
      <c r="AD33" s="150">
        <f>Y33/2</f>
        <v>44250.323779499995</v>
      </c>
      <c r="AE33" s="266"/>
      <c r="AF33" s="73">
        <f>+AB33+AC33+AD33+AE33</f>
        <v>156261.72082799999</v>
      </c>
      <c r="AG33" s="264"/>
      <c r="AH33" s="74">
        <f t="shared" ref="AH33:AJ34" si="47">+W33-AB33</f>
        <v>58396.412249999994</v>
      </c>
      <c r="AI33" s="75">
        <f t="shared" si="47"/>
        <v>53614.984798499994</v>
      </c>
      <c r="AJ33" s="75">
        <f t="shared" si="47"/>
        <v>44250.323779499995</v>
      </c>
      <c r="AK33" s="75">
        <f>-AE33</f>
        <v>0</v>
      </c>
      <c r="AL33" s="75">
        <f>+Z33-AF33</f>
        <v>156261.72082799999</v>
      </c>
    </row>
    <row r="34" spans="1:45" s="58" customFormat="1" ht="26.25" customHeight="1" x14ac:dyDescent="0.2">
      <c r="A34" s="230" t="s">
        <v>94</v>
      </c>
      <c r="B34" s="146" t="s">
        <v>117</v>
      </c>
      <c r="C34" s="146"/>
      <c r="D34" s="146"/>
      <c r="E34" s="151" t="s">
        <v>179</v>
      </c>
      <c r="F34" s="61">
        <v>472</v>
      </c>
      <c r="G34" s="63">
        <v>42310</v>
      </c>
      <c r="H34" s="64"/>
      <c r="I34" s="65"/>
      <c r="J34" s="61" t="s">
        <v>118</v>
      </c>
      <c r="K34" s="63">
        <v>42305</v>
      </c>
      <c r="L34" s="157" t="s">
        <v>91</v>
      </c>
      <c r="M34" s="65"/>
      <c r="N34" s="66">
        <v>2017</v>
      </c>
      <c r="O34" s="66">
        <v>2026</v>
      </c>
      <c r="P34" s="142">
        <v>50</v>
      </c>
      <c r="Q34" s="147">
        <v>43843</v>
      </c>
      <c r="R34" s="148"/>
      <c r="S34" s="149">
        <v>102500000</v>
      </c>
      <c r="T34" s="149"/>
      <c r="U34" s="300">
        <f>12734650+5464280</f>
        <v>18198930</v>
      </c>
      <c r="V34" s="65"/>
      <c r="W34" s="223">
        <f>+$U34*1.65/100</f>
        <v>300282.34499999997</v>
      </c>
      <c r="X34" s="223">
        <f>+$U34*X$1/100</f>
        <v>275695.59057</v>
      </c>
      <c r="Y34" s="223">
        <f>+$U34*Y$1/100</f>
        <v>227541.22178999998</v>
      </c>
      <c r="Z34" s="223">
        <f>+W34+X34+Y34</f>
        <v>803519.15735999995</v>
      </c>
      <c r="AA34" s="65"/>
      <c r="AB34" s="150">
        <f>W34*0.25</f>
        <v>75070.586249999993</v>
      </c>
      <c r="AC34" s="150">
        <f>X34*0.25</f>
        <v>68923.8976425</v>
      </c>
      <c r="AD34" s="150">
        <f>Y34</f>
        <v>227541.22178999998</v>
      </c>
      <c r="AE34" s="266">
        <f>SUM(W34*0.15)+SUM(X34:Y34)*0.1253</f>
        <v>108097.92433870799</v>
      </c>
      <c r="AF34" s="225">
        <f>+AB34+AC34+AD34+AE34</f>
        <v>479633.63002120797</v>
      </c>
      <c r="AG34" s="264"/>
      <c r="AH34" s="226">
        <f t="shared" si="47"/>
        <v>225211.75874999998</v>
      </c>
      <c r="AI34" s="224">
        <f t="shared" si="47"/>
        <v>206771.6929275</v>
      </c>
      <c r="AJ34" s="224">
        <f t="shared" si="47"/>
        <v>0</v>
      </c>
      <c r="AK34" s="224">
        <f>-AE34</f>
        <v>-108097.92433870799</v>
      </c>
      <c r="AL34" s="224">
        <f>+Z34-AF34</f>
        <v>323885.52733879199</v>
      </c>
    </row>
    <row r="35" spans="1:45" s="19" customFormat="1" ht="38.25" customHeight="1" x14ac:dyDescent="0.25">
      <c r="A35" s="270" t="s">
        <v>55</v>
      </c>
      <c r="B35" s="271"/>
      <c r="C35" s="271"/>
      <c r="D35" s="271"/>
      <c r="E35" s="271"/>
      <c r="F35" s="272"/>
      <c r="G35" s="273"/>
      <c r="H35" s="273"/>
      <c r="I35" s="274"/>
      <c r="J35" s="271"/>
      <c r="K35" s="275"/>
      <c r="L35" s="276"/>
      <c r="M35" s="274"/>
      <c r="N35" s="271"/>
      <c r="O35" s="271"/>
      <c r="P35" s="271"/>
      <c r="Q35" s="277"/>
      <c r="R35" s="278"/>
      <c r="S35" s="274"/>
      <c r="T35" s="274"/>
      <c r="U35" s="279"/>
      <c r="V35" s="274"/>
      <c r="W35" s="280"/>
      <c r="X35" s="280"/>
      <c r="Y35" s="280"/>
      <c r="Z35" s="274"/>
      <c r="AA35" s="274"/>
      <c r="AB35" s="280"/>
      <c r="AC35" s="280"/>
      <c r="AD35" s="274"/>
      <c r="AE35" s="281"/>
      <c r="AF35" s="274"/>
      <c r="AG35" s="274"/>
      <c r="AH35" s="274"/>
      <c r="AI35" s="274"/>
      <c r="AJ35" s="274"/>
      <c r="AK35" s="274"/>
      <c r="AL35" s="274"/>
    </row>
    <row r="36" spans="1:45" s="155" customFormat="1" ht="37.15" customHeight="1" x14ac:dyDescent="0.2">
      <c r="A36" s="189" t="s">
        <v>214</v>
      </c>
      <c r="B36" s="151"/>
      <c r="C36" s="151"/>
      <c r="D36" s="151"/>
      <c r="E36" s="151" t="s">
        <v>156</v>
      </c>
      <c r="F36" s="61">
        <v>28256</v>
      </c>
      <c r="G36" s="63">
        <v>42164</v>
      </c>
      <c r="H36" s="107" t="s">
        <v>91</v>
      </c>
      <c r="I36" s="99"/>
      <c r="J36" s="151" t="s">
        <v>99</v>
      </c>
      <c r="K36" s="152">
        <v>42186</v>
      </c>
      <c r="L36" s="157" t="s">
        <v>91</v>
      </c>
      <c r="M36" s="99"/>
      <c r="N36" s="151">
        <v>2017</v>
      </c>
      <c r="O36" s="151">
        <v>2030</v>
      </c>
      <c r="P36" s="151"/>
      <c r="Q36" s="68"/>
      <c r="R36" s="153" t="s">
        <v>105</v>
      </c>
      <c r="S36" s="99"/>
      <c r="T36" s="99"/>
      <c r="U36" s="99">
        <f>10682320+98652</f>
        <v>10780972</v>
      </c>
      <c r="V36" s="99"/>
      <c r="W36" s="181">
        <f t="shared" ref="W36:Y51" si="48">+$U36*W$1/100</f>
        <v>245482.73244000002</v>
      </c>
      <c r="X36" s="181">
        <f t="shared" si="48"/>
        <v>163320.94482800001</v>
      </c>
      <c r="Y36" s="181">
        <f t="shared" si="48"/>
        <v>134794.49291599999</v>
      </c>
      <c r="Z36" s="181">
        <f t="shared" ref="Z36" si="49">+W36+X36+Y36</f>
        <v>543598.17018400005</v>
      </c>
      <c r="AA36" s="99"/>
      <c r="AB36" s="154">
        <v>0</v>
      </c>
      <c r="AC36" s="154">
        <v>0</v>
      </c>
      <c r="AD36" s="154">
        <f>Y36</f>
        <v>134794.49291599999</v>
      </c>
      <c r="AE36" s="154"/>
      <c r="AF36" s="183">
        <f t="shared" ref="AF36:AF51" si="50">+AB36+AC36+AD36+AE36</f>
        <v>134794.49291599999</v>
      </c>
      <c r="AG36" s="99"/>
      <c r="AH36" s="184">
        <f t="shared" ref="AH36" si="51">+W36-AB36</f>
        <v>245482.73244000002</v>
      </c>
      <c r="AI36" s="182">
        <f t="shared" ref="AI36" si="52">+X36-AC36</f>
        <v>163320.94482800001</v>
      </c>
      <c r="AJ36" s="182">
        <f t="shared" ref="AJ36" si="53">+Y36-AD36</f>
        <v>0</v>
      </c>
      <c r="AK36" s="182">
        <f t="shared" ref="AK36" si="54">-AE36</f>
        <v>0</v>
      </c>
      <c r="AL36" s="182">
        <f t="shared" ref="AL36" si="55">+Z36-AF36</f>
        <v>408803.67726800009</v>
      </c>
    </row>
    <row r="37" spans="1:45" s="155" customFormat="1" ht="40.5" customHeight="1" x14ac:dyDescent="0.2">
      <c r="A37" s="222" t="s">
        <v>171</v>
      </c>
      <c r="B37" s="209" t="s">
        <v>172</v>
      </c>
      <c r="C37" s="151"/>
      <c r="D37" s="151"/>
      <c r="E37" s="151" t="s">
        <v>184</v>
      </c>
      <c r="F37" s="210">
        <v>29215</v>
      </c>
      <c r="G37" s="211">
        <v>43025</v>
      </c>
      <c r="H37" s="207" t="s">
        <v>91</v>
      </c>
      <c r="I37" s="99"/>
      <c r="J37" s="151" t="s">
        <v>170</v>
      </c>
      <c r="K37" s="152">
        <v>43089</v>
      </c>
      <c r="L37" s="157" t="s">
        <v>91</v>
      </c>
      <c r="M37" s="99"/>
      <c r="N37" s="151">
        <v>2018</v>
      </c>
      <c r="O37" s="151">
        <v>2032</v>
      </c>
      <c r="P37" s="151"/>
      <c r="Q37" s="208"/>
      <c r="R37" s="153"/>
      <c r="S37" s="99"/>
      <c r="T37" s="99"/>
      <c r="U37" s="99">
        <f>251720+822560+266120</f>
        <v>1340400</v>
      </c>
      <c r="V37" s="99"/>
      <c r="W37" s="237">
        <f>(261440+889440+316000)*W$1/100</f>
        <v>33400.857600000003</v>
      </c>
      <c r="X37" s="237">
        <f t="shared" si="48"/>
        <v>20305.7196</v>
      </c>
      <c r="Y37" s="237">
        <f t="shared" si="48"/>
        <v>16759.021199999999</v>
      </c>
      <c r="Z37" s="237">
        <f t="shared" ref="Z37" si="56">+W37+X37+Y37</f>
        <v>70465.598400000003</v>
      </c>
      <c r="AA37" s="99"/>
      <c r="AB37" s="154">
        <f>W37</f>
        <v>33400.857600000003</v>
      </c>
      <c r="AC37" s="239">
        <f>X37</f>
        <v>20305.7196</v>
      </c>
      <c r="AD37" s="154">
        <f>Y37</f>
        <v>16759.021199999999</v>
      </c>
      <c r="AE37" s="154"/>
      <c r="AF37" s="239">
        <f t="shared" si="50"/>
        <v>70465.598400000003</v>
      </c>
      <c r="AG37" s="99"/>
      <c r="AH37" s="240">
        <f t="shared" ref="AH37" si="57">+W37-AB37</f>
        <v>0</v>
      </c>
      <c r="AI37" s="238">
        <f t="shared" ref="AI37" si="58">+X37-AC37</f>
        <v>0</v>
      </c>
      <c r="AJ37" s="238">
        <f t="shared" ref="AJ37" si="59">+Y37-AD37</f>
        <v>0</v>
      </c>
      <c r="AK37" s="238">
        <f t="shared" ref="AK37" si="60">-AE37</f>
        <v>0</v>
      </c>
      <c r="AL37" s="238">
        <f t="shared" ref="AL37" si="61">+Z37-AF37</f>
        <v>0</v>
      </c>
    </row>
    <row r="38" spans="1:45" s="58" customFormat="1" ht="42.6" customHeight="1" x14ac:dyDescent="0.2">
      <c r="A38" s="103" t="s">
        <v>125</v>
      </c>
      <c r="B38" s="104" t="s">
        <v>126</v>
      </c>
      <c r="C38" s="105"/>
      <c r="D38" s="105"/>
      <c r="E38" s="106"/>
      <c r="F38" s="61">
        <v>28815</v>
      </c>
      <c r="G38" s="63">
        <v>42661</v>
      </c>
      <c r="H38" s="107" t="s">
        <v>91</v>
      </c>
      <c r="I38" s="65"/>
      <c r="J38" s="61" t="s">
        <v>127</v>
      </c>
      <c r="K38" s="63">
        <v>42676</v>
      </c>
      <c r="L38" s="157" t="s">
        <v>91</v>
      </c>
      <c r="M38" s="65"/>
      <c r="N38" s="66">
        <v>2019</v>
      </c>
      <c r="O38" s="66">
        <v>2033</v>
      </c>
      <c r="P38" s="156"/>
      <c r="Q38" s="68"/>
      <c r="R38" s="153" t="s">
        <v>128</v>
      </c>
      <c r="S38" s="65"/>
      <c r="T38" s="70"/>
      <c r="U38" s="300"/>
      <c r="V38" s="65"/>
      <c r="W38" s="71">
        <f t="shared" si="48"/>
        <v>0</v>
      </c>
      <c r="X38" s="71">
        <f t="shared" si="48"/>
        <v>0</v>
      </c>
      <c r="Y38" s="71">
        <f t="shared" si="48"/>
        <v>0</v>
      </c>
      <c r="Z38" s="71">
        <f>+W38+X38+Y38</f>
        <v>0</v>
      </c>
      <c r="AA38" s="65"/>
      <c r="AB38" s="72"/>
      <c r="AC38" s="72"/>
      <c r="AD38" s="72"/>
      <c r="AE38" s="73"/>
      <c r="AF38" s="73"/>
      <c r="AG38" s="264"/>
      <c r="AH38" s="74"/>
      <c r="AI38" s="75"/>
      <c r="AJ38" s="75"/>
      <c r="AK38" s="75"/>
      <c r="AL38" s="75"/>
    </row>
    <row r="39" spans="1:45" s="58" customFormat="1" ht="48.6" customHeight="1" x14ac:dyDescent="0.2">
      <c r="A39" s="59" t="s">
        <v>103</v>
      </c>
      <c r="B39" s="60" t="s">
        <v>133</v>
      </c>
      <c r="C39" s="61"/>
      <c r="D39" s="61"/>
      <c r="E39" s="62" t="s">
        <v>178</v>
      </c>
      <c r="F39" s="61">
        <v>28233</v>
      </c>
      <c r="G39" s="63">
        <v>42129</v>
      </c>
      <c r="H39" s="107" t="s">
        <v>91</v>
      </c>
      <c r="I39" s="65"/>
      <c r="J39" s="61" t="s">
        <v>97</v>
      </c>
      <c r="K39" s="63">
        <v>42130</v>
      </c>
      <c r="L39" s="157" t="s">
        <v>91</v>
      </c>
      <c r="M39" s="65"/>
      <c r="N39" s="66">
        <v>2016</v>
      </c>
      <c r="O39" s="66">
        <v>2034</v>
      </c>
      <c r="P39" s="156"/>
      <c r="Q39" s="68"/>
      <c r="R39" s="153" t="s">
        <v>106</v>
      </c>
      <c r="S39" s="65"/>
      <c r="T39" s="70"/>
      <c r="U39" s="300">
        <f>3035280+31844</f>
        <v>3067124</v>
      </c>
      <c r="V39" s="65"/>
      <c r="W39" s="71">
        <f t="shared" si="48"/>
        <v>69838.413480000003</v>
      </c>
      <c r="X39" s="71">
        <f t="shared" si="48"/>
        <v>46463.861475999998</v>
      </c>
      <c r="Y39" s="71">
        <f t="shared" si="48"/>
        <v>38348.251371999999</v>
      </c>
      <c r="Z39" s="71">
        <f>+W39+X39+Y39</f>
        <v>154650.52632800001</v>
      </c>
      <c r="AA39" s="65"/>
      <c r="AB39" s="72">
        <v>0</v>
      </c>
      <c r="AC39" s="72">
        <v>0</v>
      </c>
      <c r="AD39" s="72">
        <f>Y39</f>
        <v>38348.251371999999</v>
      </c>
      <c r="AE39" s="73"/>
      <c r="AF39" s="73">
        <f>+AB39+AC39+AD39+AE39</f>
        <v>38348.251371999999</v>
      </c>
      <c r="AG39" s="264"/>
      <c r="AH39" s="74">
        <f>+W39-AB39</f>
        <v>69838.413480000003</v>
      </c>
      <c r="AI39" s="75">
        <f>+X39-AC39</f>
        <v>46463.861475999998</v>
      </c>
      <c r="AJ39" s="75">
        <f>+Y39-AD39</f>
        <v>0</v>
      </c>
      <c r="AK39" s="75">
        <f>-AE39</f>
        <v>0</v>
      </c>
      <c r="AL39" s="75">
        <f>+Z39-AF39</f>
        <v>116302.27495600001</v>
      </c>
    </row>
    <row r="40" spans="1:45" s="58" customFormat="1" ht="25.5" customHeight="1" x14ac:dyDescent="0.2">
      <c r="A40" s="59" t="s">
        <v>31</v>
      </c>
      <c r="B40" s="60" t="s">
        <v>193</v>
      </c>
      <c r="C40" s="102"/>
      <c r="D40" s="102"/>
      <c r="E40" s="62" t="s">
        <v>205</v>
      </c>
      <c r="F40" s="61">
        <v>23253</v>
      </c>
      <c r="G40" s="63">
        <v>38611</v>
      </c>
      <c r="H40" s="64" t="s">
        <v>91</v>
      </c>
      <c r="I40" s="65"/>
      <c r="J40" s="61" t="s">
        <v>58</v>
      </c>
      <c r="K40" s="63">
        <v>37349</v>
      </c>
      <c r="L40" s="159" t="s">
        <v>91</v>
      </c>
      <c r="M40" s="65"/>
      <c r="N40" s="66">
        <v>2006</v>
      </c>
      <c r="O40" s="66">
        <v>2021</v>
      </c>
      <c r="P40" s="156"/>
      <c r="Q40" s="68"/>
      <c r="R40" s="69"/>
      <c r="S40" s="65"/>
      <c r="T40" s="70"/>
      <c r="U40" s="300">
        <f>890640+300</f>
        <v>890940</v>
      </c>
      <c r="V40" s="65"/>
      <c r="W40" s="71">
        <f t="shared" si="48"/>
        <v>20286.703800000003</v>
      </c>
      <c r="X40" s="71">
        <f t="shared" si="48"/>
        <v>13496.850059999999</v>
      </c>
      <c r="Y40" s="71">
        <f t="shared" si="48"/>
        <v>11139.42282</v>
      </c>
      <c r="Z40" s="71">
        <f t="shared" ref="Z40:Z49" si="62">+W40+X40+Y40</f>
        <v>44922.97668</v>
      </c>
      <c r="AA40" s="65"/>
      <c r="AB40" s="72">
        <f>7299.85+2.46+2030.24</f>
        <v>9332.5500000000011</v>
      </c>
      <c r="AC40" s="228">
        <f>SUM(8783.99+2.99+2668)*X1/(X1+Y1)</f>
        <v>6275.5494004050324</v>
      </c>
      <c r="AD40" s="228">
        <f>SUM(8783.99+2.99+2668)-AC40</f>
        <v>5179.4305995949671</v>
      </c>
      <c r="AE40" s="73"/>
      <c r="AF40" s="73">
        <f t="shared" si="50"/>
        <v>20787.53</v>
      </c>
      <c r="AG40" s="264"/>
      <c r="AH40" s="74">
        <f t="shared" ref="AH40:AJ49" si="63">+W40-AB40</f>
        <v>10954.153800000002</v>
      </c>
      <c r="AI40" s="75">
        <f t="shared" si="63"/>
        <v>7221.3006595949664</v>
      </c>
      <c r="AJ40" s="75">
        <f t="shared" si="63"/>
        <v>5959.9922204050326</v>
      </c>
      <c r="AK40" s="75">
        <f t="shared" ref="AK40:AK49" si="64">-AE40</f>
        <v>0</v>
      </c>
      <c r="AL40" s="75">
        <f t="shared" ref="AL40:AL49" si="65">+Z40-AF40</f>
        <v>24135.446680000001</v>
      </c>
    </row>
    <row r="41" spans="1:45" s="58" customFormat="1" ht="25.5" customHeight="1" x14ac:dyDescent="0.2">
      <c r="A41" s="103" t="s">
        <v>190</v>
      </c>
      <c r="B41" s="104" t="s">
        <v>192</v>
      </c>
      <c r="C41" s="241"/>
      <c r="D41" s="241"/>
      <c r="E41" s="106"/>
      <c r="F41" s="262">
        <v>29744</v>
      </c>
      <c r="G41" s="263">
        <v>43452</v>
      </c>
      <c r="H41" s="257" t="s">
        <v>91</v>
      </c>
      <c r="I41" s="261"/>
      <c r="J41" s="262" t="s">
        <v>191</v>
      </c>
      <c r="K41" s="263">
        <v>43481</v>
      </c>
      <c r="L41" s="157" t="s">
        <v>91</v>
      </c>
      <c r="M41" s="261"/>
      <c r="N41" s="258">
        <v>2020</v>
      </c>
      <c r="O41" s="258">
        <v>2044</v>
      </c>
      <c r="P41" s="156"/>
      <c r="Q41" s="259"/>
      <c r="R41" s="69"/>
      <c r="S41" s="261"/>
      <c r="T41" s="260"/>
      <c r="U41" s="300"/>
      <c r="V41" s="261"/>
      <c r="W41" s="302">
        <f t="shared" si="48"/>
        <v>0</v>
      </c>
      <c r="X41" s="302">
        <f t="shared" si="48"/>
        <v>0</v>
      </c>
      <c r="Y41" s="302">
        <f t="shared" si="48"/>
        <v>0</v>
      </c>
      <c r="Z41" s="302">
        <f t="shared" ref="Z41" si="66">+W41+X41+Y41</f>
        <v>0</v>
      </c>
      <c r="AA41" s="306"/>
      <c r="AB41" s="307">
        <v>0</v>
      </c>
      <c r="AC41" s="304">
        <v>0</v>
      </c>
      <c r="AD41" s="304">
        <v>0</v>
      </c>
      <c r="AE41" s="304"/>
      <c r="AF41" s="304">
        <f t="shared" ref="AF41" si="67">+AB41+AC41+AD41+AE41</f>
        <v>0</v>
      </c>
      <c r="AG41" s="306"/>
      <c r="AH41" s="305">
        <f t="shared" ref="AH41" si="68">+W41-AB41</f>
        <v>0</v>
      </c>
      <c r="AI41" s="303">
        <f t="shared" ref="AI41" si="69">+X41-AC41</f>
        <v>0</v>
      </c>
      <c r="AJ41" s="303">
        <f t="shared" ref="AJ41" si="70">+Y41-AD41</f>
        <v>0</v>
      </c>
      <c r="AK41" s="303">
        <f t="shared" ref="AK41" si="71">-AE41</f>
        <v>0</v>
      </c>
      <c r="AL41" s="303">
        <f t="shared" ref="AL41" si="72">+Z41-AF41</f>
        <v>0</v>
      </c>
    </row>
    <row r="42" spans="1:45" s="58" customFormat="1" ht="51.75" customHeight="1" x14ac:dyDescent="0.2">
      <c r="A42" s="299" t="s">
        <v>173</v>
      </c>
      <c r="B42" s="146" t="s">
        <v>175</v>
      </c>
      <c r="C42" s="297"/>
      <c r="D42" s="297"/>
      <c r="E42" s="151" t="s">
        <v>212</v>
      </c>
      <c r="F42" s="217">
        <v>29634</v>
      </c>
      <c r="G42" s="218">
        <v>43368</v>
      </c>
      <c r="H42" s="220" t="s">
        <v>91</v>
      </c>
      <c r="I42" s="215"/>
      <c r="J42" s="217" t="s">
        <v>174</v>
      </c>
      <c r="K42" s="218">
        <v>43376</v>
      </c>
      <c r="L42" s="157" t="s">
        <v>91</v>
      </c>
      <c r="M42" s="215"/>
      <c r="N42" s="212">
        <v>2019</v>
      </c>
      <c r="O42" s="212">
        <v>2033</v>
      </c>
      <c r="P42" s="156"/>
      <c r="Q42" s="213"/>
      <c r="R42" s="69" t="s">
        <v>176</v>
      </c>
      <c r="S42" s="215"/>
      <c r="T42" s="214"/>
      <c r="U42" s="300">
        <f>909280+37350</f>
        <v>946630</v>
      </c>
      <c r="V42" s="215"/>
      <c r="W42" s="293">
        <f t="shared" si="48"/>
        <v>21554.765100000004</v>
      </c>
      <c r="X42" s="293">
        <f t="shared" si="48"/>
        <v>14340.497869999999</v>
      </c>
      <c r="Y42" s="293">
        <f t="shared" si="48"/>
        <v>11835.714890000001</v>
      </c>
      <c r="Z42" s="293">
        <f t="shared" ref="Z42" si="73">+W42+X42+Y42</f>
        <v>47730.977860000006</v>
      </c>
      <c r="AA42" s="215"/>
      <c r="AB42" s="216"/>
      <c r="AC42" s="100">
        <v>25143.41</v>
      </c>
      <c r="AD42" s="100">
        <v>466.99</v>
      </c>
      <c r="AE42" s="219"/>
      <c r="AF42" s="295">
        <f t="shared" si="50"/>
        <v>25610.400000000001</v>
      </c>
      <c r="AG42" s="264"/>
      <c r="AH42" s="296">
        <f t="shared" ref="AH42" si="74">+W42-AB42</f>
        <v>21554.765100000004</v>
      </c>
      <c r="AI42" s="294">
        <f t="shared" ref="AI42" si="75">+X42-AC42</f>
        <v>-10802.912130000001</v>
      </c>
      <c r="AJ42" s="294">
        <f t="shared" ref="AJ42" si="76">+Y42-AD42</f>
        <v>11368.724890000001</v>
      </c>
      <c r="AK42" s="294">
        <f t="shared" ref="AK42" si="77">-AE42</f>
        <v>0</v>
      </c>
      <c r="AL42" s="294">
        <f t="shared" ref="AL42" si="78">+Z42-AF42</f>
        <v>22120.577860000005</v>
      </c>
    </row>
    <row r="43" spans="1:45" s="58" customFormat="1" ht="25.5" customHeight="1" x14ac:dyDescent="0.2">
      <c r="A43" s="59" t="s">
        <v>32</v>
      </c>
      <c r="B43" s="60" t="s">
        <v>33</v>
      </c>
      <c r="C43" s="61">
        <v>35.040156000000003</v>
      </c>
      <c r="D43" s="61">
        <v>-85.307471000000007</v>
      </c>
      <c r="E43" s="62" t="s">
        <v>80</v>
      </c>
      <c r="F43" s="61">
        <v>23253</v>
      </c>
      <c r="G43" s="63">
        <v>37264</v>
      </c>
      <c r="H43" s="64" t="s">
        <v>91</v>
      </c>
      <c r="I43" s="65"/>
      <c r="J43" s="61" t="s">
        <v>58</v>
      </c>
      <c r="K43" s="63">
        <v>37349</v>
      </c>
      <c r="L43" s="157" t="s">
        <v>91</v>
      </c>
      <c r="M43" s="65"/>
      <c r="N43" s="66">
        <v>2003</v>
      </c>
      <c r="O43" s="66">
        <v>2020</v>
      </c>
      <c r="P43" s="156"/>
      <c r="Q43" s="68"/>
      <c r="R43" s="69"/>
      <c r="S43" s="65"/>
      <c r="T43" s="70"/>
      <c r="U43" s="300">
        <v>577120</v>
      </c>
      <c r="V43" s="65"/>
      <c r="W43" s="71">
        <f t="shared" si="48"/>
        <v>13141.0224</v>
      </c>
      <c r="X43" s="71">
        <f t="shared" si="48"/>
        <v>8742.7908800000005</v>
      </c>
      <c r="Y43" s="71">
        <f t="shared" si="48"/>
        <v>7215.7313599999998</v>
      </c>
      <c r="Z43" s="71">
        <f t="shared" si="62"/>
        <v>29099.54464</v>
      </c>
      <c r="AA43" s="65"/>
      <c r="AB43" s="72">
        <v>8589.5</v>
      </c>
      <c r="AC43" s="227">
        <f>10432.68*X1/(X1+Y1)</f>
        <v>5715.4878243888325</v>
      </c>
      <c r="AD43" s="227">
        <f>10432.68-AC43</f>
        <v>4717.1921756111678</v>
      </c>
      <c r="AE43" s="73"/>
      <c r="AF43" s="73">
        <f t="shared" si="50"/>
        <v>19022.18</v>
      </c>
      <c r="AG43" s="264"/>
      <c r="AH43" s="74">
        <f t="shared" si="63"/>
        <v>4551.5223999999998</v>
      </c>
      <c r="AI43" s="75">
        <f t="shared" si="63"/>
        <v>3027.303055611168</v>
      </c>
      <c r="AJ43" s="75">
        <f t="shared" si="63"/>
        <v>2498.5391843888319</v>
      </c>
      <c r="AK43" s="75">
        <f t="shared" si="64"/>
        <v>0</v>
      </c>
      <c r="AL43" s="75">
        <f t="shared" si="65"/>
        <v>10077.36464</v>
      </c>
    </row>
    <row r="44" spans="1:45" s="58" customFormat="1" ht="25.5" hidden="1" customHeight="1" x14ac:dyDescent="0.2">
      <c r="A44" s="235" t="s">
        <v>135</v>
      </c>
      <c r="B44" s="146" t="s">
        <v>198</v>
      </c>
      <c r="C44" s="236"/>
      <c r="D44" s="236"/>
      <c r="E44" s="151"/>
      <c r="F44" s="61">
        <v>28852</v>
      </c>
      <c r="G44" s="63">
        <v>42710</v>
      </c>
      <c r="H44" s="107" t="s">
        <v>91</v>
      </c>
      <c r="I44" s="65"/>
      <c r="J44" s="61" t="s">
        <v>134</v>
      </c>
      <c r="K44" s="63">
        <v>42725</v>
      </c>
      <c r="L44" s="157" t="s">
        <v>91</v>
      </c>
      <c r="M44" s="65"/>
      <c r="N44" s="66">
        <v>2017</v>
      </c>
      <c r="O44" s="66">
        <v>2037</v>
      </c>
      <c r="P44" s="156"/>
      <c r="Q44" s="68"/>
      <c r="R44" s="158" t="s">
        <v>138</v>
      </c>
      <c r="S44" s="65"/>
      <c r="T44" s="70"/>
      <c r="U44" s="300"/>
      <c r="V44" s="65"/>
      <c r="W44" s="71"/>
      <c r="X44" s="71"/>
      <c r="Y44" s="71"/>
      <c r="Z44" s="71"/>
      <c r="AA44" s="65"/>
      <c r="AB44" s="72"/>
      <c r="AC44" s="100"/>
      <c r="AD44" s="100"/>
      <c r="AE44" s="73"/>
      <c r="AF44" s="73"/>
      <c r="AG44" s="264"/>
      <c r="AH44" s="74"/>
      <c r="AI44" s="75"/>
      <c r="AJ44" s="75"/>
      <c r="AK44" s="75"/>
      <c r="AL44" s="75"/>
    </row>
    <row r="45" spans="1:45" s="58" customFormat="1" ht="65.25" customHeight="1" x14ac:dyDescent="0.2">
      <c r="A45" s="190" t="s">
        <v>149</v>
      </c>
      <c r="B45" s="191" t="s">
        <v>150</v>
      </c>
      <c r="C45" s="172"/>
      <c r="D45" s="172"/>
      <c r="E45" s="192" t="s">
        <v>157</v>
      </c>
      <c r="F45" s="168">
        <v>28336</v>
      </c>
      <c r="G45" s="170">
        <v>42206</v>
      </c>
      <c r="H45" s="84" t="s">
        <v>91</v>
      </c>
      <c r="I45" s="171"/>
      <c r="J45" s="168" t="s">
        <v>151</v>
      </c>
      <c r="K45" s="170">
        <v>42221</v>
      </c>
      <c r="L45" s="88" t="s">
        <v>91</v>
      </c>
      <c r="M45" s="171"/>
      <c r="N45" s="172">
        <v>2017</v>
      </c>
      <c r="O45" s="172">
        <v>2031</v>
      </c>
      <c r="P45" s="173"/>
      <c r="Q45" s="174"/>
      <c r="R45" s="175" t="s">
        <v>152</v>
      </c>
      <c r="S45" s="171"/>
      <c r="T45" s="176"/>
      <c r="U45" s="171">
        <f>6335720+77194</f>
        <v>6412914</v>
      </c>
      <c r="V45" s="171"/>
      <c r="W45" s="185">
        <f t="shared" si="48"/>
        <v>146022.05178000001</v>
      </c>
      <c r="X45" s="185">
        <f t="shared" si="48"/>
        <v>97149.234185999987</v>
      </c>
      <c r="Y45" s="185">
        <f t="shared" si="48"/>
        <v>80180.66374199999</v>
      </c>
      <c r="Z45" s="185">
        <f t="shared" ref="Z45" si="79">+W45+X45+Y45</f>
        <v>323351.949708</v>
      </c>
      <c r="AA45" s="171"/>
      <c r="AB45" s="177">
        <v>0</v>
      </c>
      <c r="AC45" s="178">
        <v>0</v>
      </c>
      <c r="AD45" s="178">
        <f>Y45</f>
        <v>80180.66374199999</v>
      </c>
      <c r="AE45" s="179"/>
      <c r="AF45" s="186">
        <f t="shared" si="50"/>
        <v>80180.66374199999</v>
      </c>
      <c r="AG45" s="171"/>
      <c r="AH45" s="188">
        <f t="shared" ref="AH45" si="80">+W45-AB45</f>
        <v>146022.05178000001</v>
      </c>
      <c r="AI45" s="187">
        <f t="shared" ref="AI45" si="81">+X45-AC45</f>
        <v>97149.234185999987</v>
      </c>
      <c r="AJ45" s="187">
        <f t="shared" ref="AJ45" si="82">+Y45-AD45</f>
        <v>0</v>
      </c>
      <c r="AK45" s="187">
        <f t="shared" ref="AK45" si="83">-AE45</f>
        <v>0</v>
      </c>
      <c r="AL45" s="187">
        <f t="shared" ref="AL45" si="84">+Z45-AF45</f>
        <v>243171.285966</v>
      </c>
      <c r="AM45" s="169"/>
    </row>
    <row r="46" spans="1:45" s="58" customFormat="1" ht="42.6" customHeight="1" x14ac:dyDescent="0.2">
      <c r="A46" s="143" t="s">
        <v>101</v>
      </c>
      <c r="B46" s="124" t="s">
        <v>102</v>
      </c>
      <c r="C46" s="125"/>
      <c r="D46" s="126"/>
      <c r="E46" s="127" t="s">
        <v>131</v>
      </c>
      <c r="F46" s="126">
        <v>28139</v>
      </c>
      <c r="G46" s="127">
        <v>42045</v>
      </c>
      <c r="H46" s="144" t="s">
        <v>91</v>
      </c>
      <c r="I46" s="124"/>
      <c r="J46" s="126" t="s">
        <v>96</v>
      </c>
      <c r="K46" s="127">
        <v>42053</v>
      </c>
      <c r="L46" s="157" t="s">
        <v>91</v>
      </c>
      <c r="M46" s="133"/>
      <c r="N46" s="131">
        <v>2016</v>
      </c>
      <c r="O46" s="131">
        <v>2030</v>
      </c>
      <c r="P46" s="69"/>
      <c r="Q46" s="133"/>
      <c r="R46" s="153" t="s">
        <v>107</v>
      </c>
      <c r="S46" s="133"/>
      <c r="T46" s="133"/>
      <c r="U46" s="300">
        <f>1915760+39532</f>
        <v>1955292</v>
      </c>
      <c r="V46" s="133"/>
      <c r="W46" s="134">
        <f t="shared" si="48"/>
        <v>44521.998840000007</v>
      </c>
      <c r="X46" s="134">
        <f t="shared" si="48"/>
        <v>29620.718507999998</v>
      </c>
      <c r="Y46" s="134">
        <f t="shared" si="48"/>
        <v>24447.015875999998</v>
      </c>
      <c r="Z46" s="134">
        <f>+W46+X46+Y46</f>
        <v>98589.733223999996</v>
      </c>
      <c r="AA46" s="133"/>
      <c r="AB46" s="135">
        <v>0</v>
      </c>
      <c r="AC46" s="100">
        <v>0</v>
      </c>
      <c r="AD46" s="100">
        <f>Y46</f>
        <v>24447.015875999998</v>
      </c>
      <c r="AE46" s="136"/>
      <c r="AF46" s="136">
        <f t="shared" si="50"/>
        <v>24447.015875999998</v>
      </c>
      <c r="AG46" s="264"/>
      <c r="AH46" s="137">
        <f>+W46-AB46</f>
        <v>44521.998840000007</v>
      </c>
      <c r="AI46" s="138">
        <f>+X46-AC46</f>
        <v>29620.718507999998</v>
      </c>
      <c r="AJ46" s="138">
        <f>+Y46-AD46</f>
        <v>0</v>
      </c>
      <c r="AK46" s="138">
        <f>-AE46</f>
        <v>0</v>
      </c>
      <c r="AL46" s="138">
        <f>+Z46-AF46</f>
        <v>74142.717348000006</v>
      </c>
      <c r="AM46" s="80"/>
      <c r="AN46" s="80"/>
      <c r="AO46" s="80"/>
      <c r="AP46" s="80"/>
      <c r="AQ46" s="80"/>
      <c r="AR46" s="80"/>
      <c r="AS46" s="80"/>
    </row>
    <row r="47" spans="1:45" s="58" customFormat="1" ht="25.5" customHeight="1" x14ac:dyDescent="0.2">
      <c r="A47" s="59" t="s">
        <v>36</v>
      </c>
      <c r="B47" s="60" t="s">
        <v>37</v>
      </c>
      <c r="C47" s="61">
        <v>35.043092999999999</v>
      </c>
      <c r="D47" s="61">
        <v>-85.2932019</v>
      </c>
      <c r="E47" s="62" t="s">
        <v>121</v>
      </c>
      <c r="F47" s="61">
        <v>27337</v>
      </c>
      <c r="G47" s="63">
        <v>41247</v>
      </c>
      <c r="H47" s="64" t="s">
        <v>91</v>
      </c>
      <c r="I47" s="65"/>
      <c r="J47" s="61" t="s">
        <v>68</v>
      </c>
      <c r="K47" s="63">
        <v>41262</v>
      </c>
      <c r="L47" s="159" t="s">
        <v>91</v>
      </c>
      <c r="M47" s="65"/>
      <c r="N47" s="66">
        <v>2013</v>
      </c>
      <c r="O47" s="66">
        <v>2024</v>
      </c>
      <c r="P47" s="156"/>
      <c r="Q47" s="68"/>
      <c r="R47" s="69"/>
      <c r="S47" s="65"/>
      <c r="T47" s="70"/>
      <c r="U47" s="300">
        <f>528760+7528</f>
        <v>536288</v>
      </c>
      <c r="V47" s="65"/>
      <c r="W47" s="71">
        <f t="shared" si="48"/>
        <v>12211.277760000001</v>
      </c>
      <c r="X47" s="71">
        <f t="shared" si="48"/>
        <v>8124.2269120000001</v>
      </c>
      <c r="Y47" s="71">
        <f t="shared" si="48"/>
        <v>6705.2088639999993</v>
      </c>
      <c r="Z47" s="71">
        <f t="shared" si="62"/>
        <v>27040.713536000003</v>
      </c>
      <c r="AA47" s="65"/>
      <c r="AB47" s="72">
        <v>5790.05</v>
      </c>
      <c r="AC47" s="73">
        <f>6374.23*X1/(X1+Y1)</f>
        <v>3492.0877430203955</v>
      </c>
      <c r="AD47" s="73">
        <f>3728.95+94.12+6374.23*Y1/(X1+Y1)</f>
        <v>6705.2122569796029</v>
      </c>
      <c r="AE47" s="73"/>
      <c r="AF47" s="73">
        <f t="shared" si="50"/>
        <v>15987.349999999999</v>
      </c>
      <c r="AG47" s="264"/>
      <c r="AH47" s="74">
        <f t="shared" si="63"/>
        <v>6421.2277600000007</v>
      </c>
      <c r="AI47" s="75">
        <f t="shared" si="63"/>
        <v>4632.1391689796046</v>
      </c>
      <c r="AJ47" s="75">
        <f>ROUND(+Y47-AD47,0)</f>
        <v>0</v>
      </c>
      <c r="AK47" s="75">
        <f t="shared" si="64"/>
        <v>0</v>
      </c>
      <c r="AL47" s="75">
        <f t="shared" si="65"/>
        <v>11053.363536000004</v>
      </c>
    </row>
    <row r="48" spans="1:45" s="58" customFormat="1" ht="25.5" customHeight="1" x14ac:dyDescent="0.2">
      <c r="A48" s="59" t="s">
        <v>34</v>
      </c>
      <c r="B48" s="60" t="s">
        <v>35</v>
      </c>
      <c r="C48" s="102"/>
      <c r="D48" s="102"/>
      <c r="E48" s="62" t="s">
        <v>120</v>
      </c>
      <c r="F48" s="61">
        <v>27336</v>
      </c>
      <c r="G48" s="63">
        <v>41247</v>
      </c>
      <c r="H48" s="64" t="s">
        <v>91</v>
      </c>
      <c r="I48" s="65"/>
      <c r="J48" s="61" t="s">
        <v>67</v>
      </c>
      <c r="K48" s="63">
        <v>41262</v>
      </c>
      <c r="L48" s="159" t="s">
        <v>91</v>
      </c>
      <c r="M48" s="65"/>
      <c r="N48" s="66">
        <v>2013</v>
      </c>
      <c r="O48" s="66">
        <v>2024</v>
      </c>
      <c r="P48" s="156"/>
      <c r="Q48" s="68"/>
      <c r="R48" s="69"/>
      <c r="S48" s="65"/>
      <c r="T48" s="70"/>
      <c r="U48" s="300">
        <f>134440+583160+4863</f>
        <v>722463</v>
      </c>
      <c r="V48" s="65"/>
      <c r="W48" s="71">
        <f t="shared" si="48"/>
        <v>16450.482510000002</v>
      </c>
      <c r="X48" s="71">
        <f t="shared" si="48"/>
        <v>10944.591986999998</v>
      </c>
      <c r="Y48" s="71">
        <f t="shared" si="48"/>
        <v>9032.9548890000005</v>
      </c>
      <c r="Z48" s="71">
        <f t="shared" si="62"/>
        <v>36428.029386000002</v>
      </c>
      <c r="AA48" s="65"/>
      <c r="AB48" s="72">
        <f>593.87+9553.72</f>
        <v>10147.59</v>
      </c>
      <c r="AC48" s="73">
        <f>(653.8+10517.6)*X1/(X1+Y1)</f>
        <v>6120.1916172428755</v>
      </c>
      <c r="AD48" s="73">
        <f>1385.28+2535.66+60.8+(653.8+10517.6)*Y1/(X1+Y1)</f>
        <v>9032.9483827571239</v>
      </c>
      <c r="AE48" s="73"/>
      <c r="AF48" s="73">
        <f t="shared" si="50"/>
        <v>25300.73</v>
      </c>
      <c r="AG48" s="264"/>
      <c r="AH48" s="74">
        <f t="shared" si="63"/>
        <v>6302.8925100000015</v>
      </c>
      <c r="AI48" s="75">
        <f t="shared" si="63"/>
        <v>4824.4003697571225</v>
      </c>
      <c r="AJ48" s="180">
        <f>ROUND(+Y48-AD48,0)</f>
        <v>0</v>
      </c>
      <c r="AK48" s="75">
        <f t="shared" si="64"/>
        <v>0</v>
      </c>
      <c r="AL48" s="75">
        <f t="shared" si="65"/>
        <v>11127.299386000002</v>
      </c>
    </row>
    <row r="49" spans="1:42" s="58" customFormat="1" ht="26.25" customHeight="1" x14ac:dyDescent="0.2">
      <c r="A49" s="59" t="s">
        <v>38</v>
      </c>
      <c r="B49" s="60" t="s">
        <v>39</v>
      </c>
      <c r="C49" s="61">
        <v>35.054606679999999</v>
      </c>
      <c r="D49" s="61">
        <v>-85.307281329999995</v>
      </c>
      <c r="E49" s="62" t="s">
        <v>132</v>
      </c>
      <c r="F49" s="61">
        <v>23253</v>
      </c>
      <c r="G49" s="63">
        <v>40513</v>
      </c>
      <c r="H49" s="64" t="s">
        <v>91</v>
      </c>
      <c r="I49" s="65"/>
      <c r="J49" s="61" t="s">
        <v>58</v>
      </c>
      <c r="K49" s="63">
        <v>37349</v>
      </c>
      <c r="L49" s="159" t="s">
        <v>91</v>
      </c>
      <c r="M49" s="65"/>
      <c r="N49" s="66">
        <v>2012</v>
      </c>
      <c r="O49" s="66">
        <v>2025</v>
      </c>
      <c r="P49" s="156"/>
      <c r="Q49" s="68"/>
      <c r="R49" s="69"/>
      <c r="S49" s="65"/>
      <c r="T49" s="70"/>
      <c r="U49" s="300">
        <v>4912920</v>
      </c>
      <c r="V49" s="65"/>
      <c r="W49" s="71">
        <f t="shared" si="48"/>
        <v>111867.1884</v>
      </c>
      <c r="X49" s="71">
        <f t="shared" si="48"/>
        <v>74425.825079999995</v>
      </c>
      <c r="Y49" s="71">
        <f t="shared" si="48"/>
        <v>61426.23876</v>
      </c>
      <c r="Z49" s="71">
        <f t="shared" si="62"/>
        <v>247719.25224</v>
      </c>
      <c r="AA49" s="65"/>
      <c r="AB49" s="72">
        <v>0</v>
      </c>
      <c r="AC49" s="73">
        <v>0</v>
      </c>
      <c r="AD49" s="73">
        <v>0</v>
      </c>
      <c r="AE49" s="73"/>
      <c r="AF49" s="73">
        <f t="shared" si="50"/>
        <v>0</v>
      </c>
      <c r="AG49" s="264"/>
      <c r="AH49" s="74">
        <f t="shared" si="63"/>
        <v>111867.1884</v>
      </c>
      <c r="AI49" s="75">
        <f t="shared" si="63"/>
        <v>74425.825079999995</v>
      </c>
      <c r="AJ49" s="75">
        <f t="shared" si="63"/>
        <v>61426.23876</v>
      </c>
      <c r="AK49" s="75">
        <f t="shared" si="64"/>
        <v>0</v>
      </c>
      <c r="AL49" s="75">
        <f t="shared" si="65"/>
        <v>247719.25224</v>
      </c>
    </row>
    <row r="50" spans="1:42" s="58" customFormat="1" ht="26.25" customHeight="1" x14ac:dyDescent="0.2">
      <c r="A50" s="114" t="s">
        <v>140</v>
      </c>
      <c r="B50" s="60"/>
      <c r="C50" s="61"/>
      <c r="D50" s="61"/>
      <c r="E50" s="62"/>
      <c r="F50" s="61"/>
      <c r="G50" s="63"/>
      <c r="H50" s="64"/>
      <c r="I50" s="65"/>
      <c r="J50" s="61"/>
      <c r="K50" s="63"/>
      <c r="L50" s="159"/>
      <c r="M50" s="65"/>
      <c r="N50" s="66"/>
      <c r="O50" s="66"/>
      <c r="P50" s="156"/>
      <c r="Q50" s="68"/>
      <c r="R50" s="69"/>
      <c r="S50" s="65"/>
      <c r="T50" s="70"/>
      <c r="U50" s="300"/>
      <c r="V50" s="65"/>
      <c r="W50" s="71"/>
      <c r="X50" s="71"/>
      <c r="Y50" s="71"/>
      <c r="Z50" s="71"/>
      <c r="AA50" s="65"/>
      <c r="AB50" s="72"/>
      <c r="AC50" s="73"/>
      <c r="AD50" s="73"/>
      <c r="AE50" s="73"/>
      <c r="AF50" s="73"/>
      <c r="AG50" s="264"/>
      <c r="AH50" s="74"/>
      <c r="AI50" s="75"/>
      <c r="AJ50" s="75"/>
      <c r="AK50" s="75"/>
      <c r="AL50" s="75"/>
    </row>
    <row r="51" spans="1:42" s="58" customFormat="1" ht="36" x14ac:dyDescent="0.2">
      <c r="A51" s="256" t="s">
        <v>185</v>
      </c>
      <c r="B51" s="146" t="s">
        <v>137</v>
      </c>
      <c r="C51" s="251"/>
      <c r="D51" s="251"/>
      <c r="E51" s="151" t="s">
        <v>187</v>
      </c>
      <c r="F51" s="61">
        <v>28835</v>
      </c>
      <c r="G51" s="63">
        <v>42682</v>
      </c>
      <c r="H51" s="107" t="s">
        <v>91</v>
      </c>
      <c r="I51" s="65"/>
      <c r="J51" s="66" t="s">
        <v>136</v>
      </c>
      <c r="K51" s="160">
        <v>42711</v>
      </c>
      <c r="L51" s="161" t="s">
        <v>91</v>
      </c>
      <c r="M51" s="65"/>
      <c r="N51" s="66">
        <v>2018</v>
      </c>
      <c r="O51" s="66">
        <v>2058</v>
      </c>
      <c r="P51" s="156"/>
      <c r="Q51" s="68"/>
      <c r="R51" s="158" t="s">
        <v>141</v>
      </c>
      <c r="S51" s="65"/>
      <c r="T51" s="70"/>
      <c r="U51" s="300">
        <f>3387100+25340</f>
        <v>3412440</v>
      </c>
      <c r="V51" s="65"/>
      <c r="W51" s="247">
        <f t="shared" si="48"/>
        <v>77701.258800000011</v>
      </c>
      <c r="X51" s="247">
        <f t="shared" si="48"/>
        <v>51695.05356</v>
      </c>
      <c r="Y51" s="247">
        <f t="shared" si="48"/>
        <v>42665.73732</v>
      </c>
      <c r="Z51" s="247">
        <f t="shared" ref="Z51" si="85">+W51+X51+Y51</f>
        <v>172062.04968</v>
      </c>
      <c r="AA51" s="65"/>
      <c r="AB51" s="72"/>
      <c r="AC51" s="73"/>
      <c r="AD51" s="73">
        <v>51000</v>
      </c>
      <c r="AE51" s="73"/>
      <c r="AF51" s="254">
        <f t="shared" si="50"/>
        <v>51000</v>
      </c>
      <c r="AG51" s="264"/>
      <c r="AH51" s="255">
        <f t="shared" ref="AH51" si="86">+W51-AB51</f>
        <v>77701.258800000011</v>
      </c>
      <c r="AI51" s="253">
        <f t="shared" ref="AI51" si="87">+X51-AC51</f>
        <v>51695.05356</v>
      </c>
      <c r="AJ51" s="253">
        <f t="shared" ref="AJ51" si="88">+Y51-AD51</f>
        <v>-8334.2626799999998</v>
      </c>
      <c r="AK51" s="253">
        <f t="shared" ref="AK51" si="89">-AE51</f>
        <v>0</v>
      </c>
      <c r="AL51" s="253">
        <f t="shared" ref="AL51" si="90">+Z51-AF51</f>
        <v>121062.04968</v>
      </c>
    </row>
    <row r="52" spans="1:42" s="58" customFormat="1" ht="4.5" customHeight="1" x14ac:dyDescent="0.2">
      <c r="A52" s="79"/>
      <c r="B52" s="80"/>
      <c r="C52" s="81"/>
      <c r="D52" s="81"/>
      <c r="E52" s="82"/>
      <c r="F52" s="81"/>
      <c r="G52" s="83"/>
      <c r="H52" s="84"/>
      <c r="I52" s="85"/>
      <c r="J52" s="81"/>
      <c r="K52" s="83"/>
      <c r="L52" s="88"/>
      <c r="M52" s="85"/>
      <c r="N52" s="162"/>
      <c r="O52" s="162"/>
      <c r="P52" s="163"/>
      <c r="Q52" s="91"/>
      <c r="R52" s="164"/>
      <c r="S52" s="85"/>
      <c r="T52" s="165"/>
      <c r="U52" s="85"/>
      <c r="V52" s="85"/>
      <c r="W52" s="94"/>
      <c r="X52" s="94"/>
      <c r="Y52" s="94"/>
      <c r="Z52" s="94"/>
      <c r="AA52" s="85"/>
      <c r="AB52" s="96"/>
      <c r="AC52" s="166"/>
      <c r="AD52" s="166"/>
      <c r="AE52" s="166"/>
      <c r="AF52" s="166"/>
      <c r="AG52" s="85"/>
      <c r="AH52" s="97"/>
      <c r="AI52" s="167"/>
      <c r="AJ52" s="167"/>
      <c r="AK52" s="167"/>
      <c r="AL52" s="167"/>
    </row>
    <row r="53" spans="1:42" ht="25.5" customHeight="1" thickBot="1" x14ac:dyDescent="0.25">
      <c r="A53" s="231" t="s">
        <v>217</v>
      </c>
      <c r="B53" s="39"/>
      <c r="C53" s="39"/>
      <c r="D53" s="39"/>
      <c r="E53" s="39"/>
      <c r="F53" s="39"/>
      <c r="G53" s="39"/>
      <c r="H53" s="39"/>
      <c r="I53" s="39"/>
      <c r="J53" s="39"/>
      <c r="K53" s="39"/>
      <c r="L53" s="39"/>
      <c r="R53" s="31"/>
      <c r="W53" s="26">
        <f>SUM(W5:W51)</f>
        <v>17790041.915349998</v>
      </c>
      <c r="X53" s="26">
        <f>SUM(X5:X51)</f>
        <v>11467314.412791997</v>
      </c>
      <c r="Y53" s="26">
        <f>SUM(Y5:Y51)</f>
        <v>9464376.2513050009</v>
      </c>
      <c r="Z53" s="26">
        <f>SUM(Z5:Z51)</f>
        <v>38721732.579446994</v>
      </c>
      <c r="AB53" s="25">
        <f>SUM(AB5:AB51)</f>
        <v>3246556.1846213602</v>
      </c>
      <c r="AC53" s="25">
        <f>SUM(AC5:AC51)</f>
        <v>1743976.3749619778</v>
      </c>
      <c r="AD53" s="25">
        <f>SUM(AD5:AD51)</f>
        <v>7995692.8487479435</v>
      </c>
      <c r="AE53" s="25">
        <f>SUM(AE5:AE51)</f>
        <v>926484.50388266519</v>
      </c>
      <c r="AF53" s="25">
        <f>SUM(AF5:AF51)</f>
        <v>13912709.912213948</v>
      </c>
      <c r="AH53" s="23">
        <f>SUM(AH5:AH51)</f>
        <v>14543485.730728639</v>
      </c>
      <c r="AI53" s="23">
        <f>SUM(AI5:AI51)</f>
        <v>9723338.0378300194</v>
      </c>
      <c r="AJ53" s="23">
        <f>SUM(AJ5:AJ51)</f>
        <v>1468683.3994437945</v>
      </c>
      <c r="AK53" s="23">
        <f>SUM(AK5:AK51)</f>
        <v>-926484.50388266519</v>
      </c>
      <c r="AL53" s="23">
        <f>SUM(AL5:AL51)</f>
        <v>24809022.667233046</v>
      </c>
      <c r="AM53" s="3"/>
      <c r="AN53" s="3">
        <f t="shared" ref="AN53" si="91">+X53-AC53-AI53</f>
        <v>0</v>
      </c>
      <c r="AO53" s="3"/>
      <c r="AP53" s="3"/>
    </row>
    <row r="54" spans="1:42" ht="30.6" customHeight="1" thickTop="1" x14ac:dyDescent="0.2">
      <c r="M54" s="38"/>
      <c r="N54" s="37"/>
      <c r="O54" s="37"/>
      <c r="R54" s="31"/>
    </row>
    <row r="55" spans="1:42" ht="30.6" customHeight="1" x14ac:dyDescent="0.2">
      <c r="A55" s="282"/>
      <c r="B55" s="283"/>
      <c r="C55" s="283"/>
      <c r="D55" s="283"/>
      <c r="E55" s="283"/>
      <c r="F55" s="283"/>
      <c r="G55" s="283"/>
      <c r="H55" s="283"/>
      <c r="I55" s="283"/>
      <c r="J55" s="283"/>
      <c r="K55" s="283"/>
      <c r="L55" s="283"/>
      <c r="M55" s="38"/>
      <c r="N55" s="37"/>
      <c r="O55" s="37"/>
      <c r="R55" s="31"/>
      <c r="AB55" s="333"/>
      <c r="AC55" s="333"/>
      <c r="AD55" s="333"/>
      <c r="AE55" s="333"/>
      <c r="AF55" s="333"/>
    </row>
    <row r="56" spans="1:42" ht="15" customHeight="1" x14ac:dyDescent="0.2">
      <c r="R56" s="31"/>
    </row>
    <row r="57" spans="1:42" customFormat="1" ht="15" customHeight="1" thickBot="1" x14ac:dyDescent="0.25">
      <c r="A57" s="22"/>
      <c r="E57" s="15"/>
      <c r="F57" s="343" t="s">
        <v>52</v>
      </c>
      <c r="G57" s="343"/>
      <c r="H57" s="343"/>
      <c r="I57" s="36"/>
      <c r="J57" s="343" t="s">
        <v>53</v>
      </c>
      <c r="K57" s="343"/>
      <c r="L57" s="343"/>
      <c r="M57" s="36"/>
      <c r="N57" s="22"/>
      <c r="O57" s="22"/>
      <c r="Q57" s="32"/>
      <c r="R57" s="27"/>
      <c r="S57" s="1"/>
      <c r="T57" s="1"/>
      <c r="U57" s="34"/>
      <c r="V57" s="5"/>
      <c r="W57" s="206" t="s">
        <v>165</v>
      </c>
      <c r="X57" s="7"/>
      <c r="Y57" s="7"/>
      <c r="Z57" s="7"/>
      <c r="AA57" s="5"/>
      <c r="AB57" s="344" t="s">
        <v>199</v>
      </c>
      <c r="AC57" s="345"/>
      <c r="AD57" s="345"/>
      <c r="AE57" s="345"/>
      <c r="AF57" s="346"/>
      <c r="AG57" s="5"/>
      <c r="AH57" s="347" t="s">
        <v>166</v>
      </c>
      <c r="AI57" s="348"/>
      <c r="AJ57" s="348"/>
      <c r="AK57" s="348"/>
      <c r="AL57" s="349"/>
    </row>
    <row r="58" spans="1:42" s="15" customFormat="1" ht="24" customHeight="1" x14ac:dyDescent="0.2">
      <c r="A58" s="16" t="s">
        <v>0</v>
      </c>
      <c r="B58" s="8" t="s">
        <v>3</v>
      </c>
      <c r="C58" s="24" t="s">
        <v>8</v>
      </c>
      <c r="D58" s="24" t="s">
        <v>9</v>
      </c>
      <c r="E58" s="8" t="s">
        <v>73</v>
      </c>
      <c r="F58" s="8" t="s">
        <v>66</v>
      </c>
      <c r="G58" s="14" t="s">
        <v>5</v>
      </c>
      <c r="H58" s="14" t="s">
        <v>90</v>
      </c>
      <c r="I58" s="12"/>
      <c r="J58" s="8" t="s">
        <v>66</v>
      </c>
      <c r="K58" s="14" t="s">
        <v>5</v>
      </c>
      <c r="L58" s="14" t="s">
        <v>90</v>
      </c>
      <c r="M58" s="12"/>
      <c r="N58" s="16" t="s">
        <v>6</v>
      </c>
      <c r="O58" s="16" t="s">
        <v>7</v>
      </c>
      <c r="P58" s="16" t="s">
        <v>1</v>
      </c>
      <c r="Q58" s="30" t="s">
        <v>2</v>
      </c>
      <c r="R58" s="16" t="s">
        <v>104</v>
      </c>
      <c r="S58" s="12" t="s">
        <v>139</v>
      </c>
      <c r="T58" s="9" t="s">
        <v>4</v>
      </c>
      <c r="U58" s="12" t="s">
        <v>164</v>
      </c>
      <c r="V58" s="12"/>
      <c r="W58" s="11" t="s">
        <v>42</v>
      </c>
      <c r="X58" s="11" t="s">
        <v>43</v>
      </c>
      <c r="Y58" s="11" t="s">
        <v>44</v>
      </c>
      <c r="Z58" s="10" t="s">
        <v>200</v>
      </c>
      <c r="AA58" s="12"/>
      <c r="AB58" s="21" t="s">
        <v>209</v>
      </c>
      <c r="AC58" s="21" t="s">
        <v>210</v>
      </c>
      <c r="AD58" s="21" t="s">
        <v>211</v>
      </c>
      <c r="AE58" s="21" t="s">
        <v>197</v>
      </c>
      <c r="AF58" s="21" t="s">
        <v>167</v>
      </c>
      <c r="AG58" s="12"/>
      <c r="AH58" s="13" t="s">
        <v>48</v>
      </c>
      <c r="AI58" s="13" t="s">
        <v>49</v>
      </c>
      <c r="AJ58" s="13" t="s">
        <v>50</v>
      </c>
      <c r="AK58" s="13" t="s">
        <v>197</v>
      </c>
      <c r="AL58" s="13" t="s">
        <v>201</v>
      </c>
    </row>
    <row r="59" spans="1:42" ht="15" customHeight="1" x14ac:dyDescent="0.2">
      <c r="R59" s="31"/>
    </row>
    <row r="60" spans="1:42" ht="28.5" customHeight="1" x14ac:dyDescent="0.2">
      <c r="A60" s="114" t="s">
        <v>160</v>
      </c>
      <c r="R60" s="31"/>
    </row>
    <row r="61" spans="1:42" s="58" customFormat="1" ht="25.5" customHeight="1" x14ac:dyDescent="0.2">
      <c r="A61" s="204" t="s">
        <v>161</v>
      </c>
      <c r="B61" s="200"/>
      <c r="C61" s="102"/>
      <c r="D61" s="102"/>
      <c r="E61" s="201"/>
      <c r="F61" s="202">
        <v>27143</v>
      </c>
      <c r="G61" s="203">
        <v>41079</v>
      </c>
      <c r="H61" s="207" t="s">
        <v>91</v>
      </c>
      <c r="I61" s="199"/>
      <c r="J61" s="202" t="s">
        <v>168</v>
      </c>
      <c r="K61" s="203">
        <v>41066</v>
      </c>
      <c r="L61" s="157" t="s">
        <v>91</v>
      </c>
      <c r="M61" s="199"/>
      <c r="N61" s="196">
        <v>2013</v>
      </c>
      <c r="O61" s="196">
        <v>2032</v>
      </c>
      <c r="P61" s="197" t="s">
        <v>10</v>
      </c>
      <c r="Q61" s="197" t="s">
        <v>10</v>
      </c>
      <c r="R61" s="69" t="s">
        <v>163</v>
      </c>
      <c r="S61" s="197">
        <v>500000000</v>
      </c>
      <c r="T61" s="198"/>
      <c r="U61" s="319">
        <v>15550712</v>
      </c>
      <c r="V61" s="199"/>
      <c r="W61" s="313">
        <f>+$U61*W$1/100</f>
        <v>354089.71224000002</v>
      </c>
      <c r="X61" s="313">
        <f t="shared" ref="W61:Y63" si="92">+$U61*X$1/100</f>
        <v>235577.73608799998</v>
      </c>
      <c r="Y61" s="313">
        <f t="shared" si="92"/>
        <v>194430.55213599998</v>
      </c>
      <c r="Z61" s="313">
        <f t="shared" ref="Z61" si="93">+W61+X61+Y61</f>
        <v>784098.00046400004</v>
      </c>
      <c r="AA61" s="319"/>
      <c r="AB61" s="322">
        <f>ROUND(+(685500*0.02309)+(U61-685500)*0.00359,0)</f>
        <v>69194</v>
      </c>
      <c r="AC61" s="315">
        <f>ROUND(+(685500*(0.013926-0.004075))+(U61-685500)*0.004612,0)</f>
        <v>75311</v>
      </c>
      <c r="AD61" s="315">
        <f>+U61*$Y$1/100</f>
        <v>194430.55213599998</v>
      </c>
      <c r="AE61" s="315">
        <f>ROUND((AH61+AI61+AJ61)*0.05,0)</f>
        <v>22258</v>
      </c>
      <c r="AF61" s="315">
        <f>SUM(AB61:AE61)</f>
        <v>361193.55213600001</v>
      </c>
      <c r="AG61" s="319"/>
      <c r="AH61" s="316">
        <f t="shared" ref="AH61" si="94">+W61-AB61</f>
        <v>284895.71224000002</v>
      </c>
      <c r="AI61" s="314">
        <f t="shared" ref="AI61" si="95">+X61-AC61</f>
        <v>160266.73608799998</v>
      </c>
      <c r="AJ61" s="314">
        <f t="shared" ref="AJ61" si="96">+Y61-AD61</f>
        <v>0</v>
      </c>
      <c r="AK61" s="314">
        <f t="shared" ref="AK61" si="97">-AE61</f>
        <v>-22258</v>
      </c>
      <c r="AL61" s="314">
        <f t="shared" ref="AL61" si="98">+Z61-AF61</f>
        <v>422904.44832800003</v>
      </c>
    </row>
    <row r="62" spans="1:42" s="58" customFormat="1" ht="25.5" customHeight="1" x14ac:dyDescent="0.2">
      <c r="A62" s="204" t="s">
        <v>162</v>
      </c>
      <c r="B62" s="200"/>
      <c r="C62" s="102"/>
      <c r="D62" s="102"/>
      <c r="E62" s="201"/>
      <c r="F62" s="202">
        <v>29336</v>
      </c>
      <c r="G62" s="203">
        <v>43151</v>
      </c>
      <c r="H62" s="205" t="s">
        <v>91</v>
      </c>
      <c r="I62" s="199"/>
      <c r="J62" s="202" t="s">
        <v>169</v>
      </c>
      <c r="K62" s="203">
        <v>43166</v>
      </c>
      <c r="L62" s="157" t="s">
        <v>91</v>
      </c>
      <c r="M62" s="199"/>
      <c r="N62" s="196">
        <v>2018</v>
      </c>
      <c r="O62" s="196">
        <v>2032</v>
      </c>
      <c r="P62" s="221">
        <v>92</v>
      </c>
      <c r="Q62" s="197" t="s">
        <v>10</v>
      </c>
      <c r="R62" s="69"/>
      <c r="S62" s="197" t="s">
        <v>10</v>
      </c>
      <c r="T62" s="198"/>
      <c r="U62" s="319">
        <v>11006606</v>
      </c>
      <c r="V62" s="199"/>
      <c r="W62" s="313">
        <f t="shared" si="92"/>
        <v>250620.41862000001</v>
      </c>
      <c r="X62" s="313">
        <f t="shared" si="92"/>
        <v>166739.07429399999</v>
      </c>
      <c r="Y62" s="313">
        <f t="shared" si="92"/>
        <v>137615.59481799998</v>
      </c>
      <c r="Z62" s="313">
        <f t="shared" ref="Z62" si="99">+W62+X62+Y62</f>
        <v>554975.08773200004</v>
      </c>
      <c r="AA62" s="319"/>
      <c r="AB62" s="322">
        <f>ROUND(+(2131890*0.02277)+(U62-2131890)*0.00359,0)</f>
        <v>80403</v>
      </c>
      <c r="AC62" s="315">
        <f>ROUND(+(2131890*0.015149)+(U62-2131890)*0.004612,0)</f>
        <v>73226</v>
      </c>
      <c r="AD62" s="315">
        <f>+U62*$Y$1/100</f>
        <v>137615.59481799998</v>
      </c>
      <c r="AE62" s="315">
        <f>ROUND((AH62+AI62+AJ62)*0.05,0)</f>
        <v>13187</v>
      </c>
      <c r="AF62" s="315">
        <f>SUM(AB62:AE62)</f>
        <v>304431.59481799998</v>
      </c>
      <c r="AG62" s="319"/>
      <c r="AH62" s="316">
        <f t="shared" ref="AH62" si="100">+W62-AB62</f>
        <v>170217.41862000001</v>
      </c>
      <c r="AI62" s="314">
        <f t="shared" ref="AI62" si="101">+X62-AC62</f>
        <v>93513.074293999991</v>
      </c>
      <c r="AJ62" s="314">
        <f t="shared" ref="AJ62" si="102">+Y62-AD62</f>
        <v>0</v>
      </c>
      <c r="AK62" s="314">
        <f t="shared" ref="AK62" si="103">-AE62</f>
        <v>-13187</v>
      </c>
      <c r="AL62" s="314">
        <f t="shared" ref="AL62" si="104">+Z62-AF62</f>
        <v>250543.49291400006</v>
      </c>
    </row>
    <row r="63" spans="1:42" s="58" customFormat="1" ht="39.75" customHeight="1" x14ac:dyDescent="0.2">
      <c r="A63" s="310" t="s">
        <v>215</v>
      </c>
      <c r="B63" s="308"/>
      <c r="C63" s="102"/>
      <c r="D63" s="102"/>
      <c r="E63" s="309"/>
      <c r="F63" s="320">
        <v>30103</v>
      </c>
      <c r="G63" s="101">
        <v>43753</v>
      </c>
      <c r="H63" s="157" t="s">
        <v>91</v>
      </c>
      <c r="I63" s="321"/>
      <c r="J63" s="320" t="s">
        <v>216</v>
      </c>
      <c r="K63" s="101">
        <v>43817</v>
      </c>
      <c r="L63" s="157" t="s">
        <v>91</v>
      </c>
      <c r="M63" s="321"/>
      <c r="N63" s="320">
        <v>2020</v>
      </c>
      <c r="O63" s="317">
        <v>2040</v>
      </c>
      <c r="P63" s="318" t="s">
        <v>10</v>
      </c>
      <c r="Q63" s="318" t="s">
        <v>10</v>
      </c>
      <c r="R63" s="69" t="s">
        <v>218</v>
      </c>
      <c r="S63" s="318" t="s">
        <v>10</v>
      </c>
      <c r="T63" s="312"/>
      <c r="U63" s="319">
        <v>0</v>
      </c>
      <c r="V63" s="306"/>
      <c r="W63" s="302">
        <f t="shared" si="92"/>
        <v>0</v>
      </c>
      <c r="X63" s="302">
        <f t="shared" si="92"/>
        <v>0</v>
      </c>
      <c r="Y63" s="302">
        <f t="shared" si="92"/>
        <v>0</v>
      </c>
      <c r="Z63" s="302">
        <f t="shared" ref="Z63" si="105">+W63+X63+Y63</f>
        <v>0</v>
      </c>
      <c r="AA63" s="306"/>
      <c r="AB63" s="304">
        <v>0</v>
      </c>
      <c r="AC63" s="304">
        <v>0</v>
      </c>
      <c r="AD63" s="304">
        <f>+U63*$Y$1/100</f>
        <v>0</v>
      </c>
      <c r="AE63" s="304">
        <f>ROUND((AH63+AI63+AJ63)*0.05,0)</f>
        <v>0</v>
      </c>
      <c r="AF63" s="304">
        <f>SUM(AB63:AE63)</f>
        <v>0</v>
      </c>
      <c r="AG63" s="306"/>
      <c r="AH63" s="305">
        <f t="shared" ref="AH63" si="106">+W63-AB63</f>
        <v>0</v>
      </c>
      <c r="AI63" s="303">
        <f t="shared" ref="AI63" si="107">+X63-AC63</f>
        <v>0</v>
      </c>
      <c r="AJ63" s="303">
        <f t="shared" ref="AJ63" si="108">+Y63-AD63</f>
        <v>0</v>
      </c>
      <c r="AK63" s="303">
        <f t="shared" ref="AK63" si="109">-AE63</f>
        <v>0</v>
      </c>
      <c r="AL63" s="303">
        <f t="shared" ref="AL63" si="110">+Z63-AF63</f>
        <v>0</v>
      </c>
    </row>
    <row r="64" spans="1:42" s="58" customFormat="1" ht="4.5" customHeight="1" x14ac:dyDescent="0.2">
      <c r="A64" s="79"/>
      <c r="B64" s="80"/>
      <c r="C64" s="81"/>
      <c r="D64" s="81"/>
      <c r="E64" s="82"/>
      <c r="F64" s="81"/>
      <c r="G64" s="83"/>
      <c r="H64" s="84"/>
      <c r="I64" s="85"/>
      <c r="J64" s="81"/>
      <c r="K64" s="83"/>
      <c r="L64" s="88"/>
      <c r="M64" s="85"/>
      <c r="N64" s="162"/>
      <c r="O64" s="162"/>
      <c r="P64" s="163"/>
      <c r="Q64" s="91"/>
      <c r="R64" s="164"/>
      <c r="S64" s="85"/>
      <c r="T64" s="165"/>
      <c r="U64" s="85"/>
      <c r="V64" s="85"/>
      <c r="W64" s="94"/>
      <c r="X64" s="94"/>
      <c r="Y64" s="94"/>
      <c r="Z64" s="94"/>
      <c r="AA64" s="85"/>
      <c r="AB64" s="96"/>
      <c r="AC64" s="166"/>
      <c r="AD64" s="166"/>
      <c r="AE64" s="166"/>
      <c r="AF64" s="166"/>
      <c r="AG64" s="85"/>
      <c r="AH64" s="97"/>
      <c r="AI64" s="167"/>
      <c r="AJ64" s="167"/>
      <c r="AK64" s="167"/>
      <c r="AL64" s="167"/>
    </row>
    <row r="65" spans="18:42" ht="25.5" customHeight="1" thickBot="1" x14ac:dyDescent="0.25">
      <c r="R65" s="31"/>
      <c r="W65" s="26">
        <f>SUM(W61:W64)</f>
        <v>604710.13086000003</v>
      </c>
      <c r="X65" s="26">
        <f t="shared" ref="X65:Z65" si="111">SUM(X61:X64)</f>
        <v>402316.81038199994</v>
      </c>
      <c r="Y65" s="26">
        <f t="shared" si="111"/>
        <v>332046.146954</v>
      </c>
      <c r="Z65" s="26">
        <f t="shared" si="111"/>
        <v>1339073.0881960001</v>
      </c>
      <c r="AB65" s="25">
        <f>SUM(AB61:AB64)</f>
        <v>149597</v>
      </c>
      <c r="AC65" s="25">
        <f>SUM(AC61:AC64)</f>
        <v>148537</v>
      </c>
      <c r="AD65" s="25">
        <f t="shared" ref="AD65:AF65" si="112">SUM(AD61:AD64)</f>
        <v>332046.146954</v>
      </c>
      <c r="AE65" s="25">
        <f t="shared" si="112"/>
        <v>35445</v>
      </c>
      <c r="AF65" s="25">
        <f t="shared" si="112"/>
        <v>665625.146954</v>
      </c>
      <c r="AH65" s="23">
        <f>SUM(AH61:AH64)</f>
        <v>455113.13086000003</v>
      </c>
      <c r="AI65" s="23">
        <f t="shared" ref="AI65:AL65" si="113">SUM(AI61:AI64)</f>
        <v>253779.81038199997</v>
      </c>
      <c r="AJ65" s="23">
        <f t="shared" si="113"/>
        <v>0</v>
      </c>
      <c r="AK65" s="23">
        <f t="shared" si="113"/>
        <v>-35445</v>
      </c>
      <c r="AL65" s="23">
        <f t="shared" si="113"/>
        <v>673447.94124200009</v>
      </c>
      <c r="AM65" s="3"/>
      <c r="AN65" s="3">
        <f t="shared" ref="AN65" si="114">+X65-AC65-AI65</f>
        <v>0</v>
      </c>
      <c r="AO65" s="3"/>
      <c r="AP65" s="3"/>
    </row>
    <row r="66" spans="18:42" ht="15" customHeight="1" thickTop="1" x14ac:dyDescent="0.2">
      <c r="R66" s="31"/>
    </row>
    <row r="67" spans="18:42" ht="15" customHeight="1" x14ac:dyDescent="0.2">
      <c r="R67" s="31"/>
    </row>
    <row r="68" spans="18:42" ht="15" customHeight="1" x14ac:dyDescent="0.2">
      <c r="R68" s="31"/>
    </row>
    <row r="69" spans="18:42" ht="15" customHeight="1" x14ac:dyDescent="0.2">
      <c r="R69" s="31"/>
    </row>
    <row r="70" spans="18:42" ht="15" customHeight="1" x14ac:dyDescent="0.2">
      <c r="R70" s="31"/>
    </row>
    <row r="71" spans="18:42" ht="15" customHeight="1" x14ac:dyDescent="0.2">
      <c r="R71" s="31"/>
    </row>
    <row r="72" spans="18:42" ht="15" customHeight="1" x14ac:dyDescent="0.2">
      <c r="R72" s="31"/>
    </row>
    <row r="73" spans="18:42" ht="15" customHeight="1" x14ac:dyDescent="0.2">
      <c r="R73" s="31"/>
    </row>
    <row r="74" spans="18:42" ht="15" customHeight="1" x14ac:dyDescent="0.2">
      <c r="R74" s="31"/>
    </row>
    <row r="75" spans="18:42" ht="15" customHeight="1" x14ac:dyDescent="0.2">
      <c r="R75" s="31"/>
    </row>
    <row r="76" spans="18:42" ht="15" customHeight="1" x14ac:dyDescent="0.2">
      <c r="R76" s="31"/>
    </row>
    <row r="77" spans="18:42" ht="15" customHeight="1" x14ac:dyDescent="0.2">
      <c r="R77" s="31"/>
    </row>
    <row r="78" spans="18:42" ht="15" customHeight="1" x14ac:dyDescent="0.2">
      <c r="R78" s="31"/>
    </row>
    <row r="79" spans="18:42" ht="15" customHeight="1" x14ac:dyDescent="0.2">
      <c r="R79" s="31"/>
    </row>
    <row r="80" spans="18:42" ht="15" customHeight="1" x14ac:dyDescent="0.2">
      <c r="R80" s="31"/>
    </row>
    <row r="81" spans="18:18" ht="15" customHeight="1" x14ac:dyDescent="0.2">
      <c r="R81" s="31"/>
    </row>
    <row r="82" spans="18:18" ht="15" customHeight="1" x14ac:dyDescent="0.2">
      <c r="R82" s="31"/>
    </row>
    <row r="83" spans="18:18" ht="15" customHeight="1" x14ac:dyDescent="0.2">
      <c r="R83" s="31"/>
    </row>
    <row r="84" spans="18:18" ht="15" customHeight="1" x14ac:dyDescent="0.2">
      <c r="R84" s="31"/>
    </row>
    <row r="85" spans="18:18" ht="15" customHeight="1" x14ac:dyDescent="0.2">
      <c r="R85" s="31"/>
    </row>
    <row r="86" spans="18:18" ht="15" customHeight="1" x14ac:dyDescent="0.2">
      <c r="R86" s="31"/>
    </row>
    <row r="87" spans="18:18" ht="15" customHeight="1" x14ac:dyDescent="0.2">
      <c r="R87" s="31"/>
    </row>
    <row r="88" spans="18:18" ht="15" customHeight="1" x14ac:dyDescent="0.2">
      <c r="R88" s="31"/>
    </row>
    <row r="89" spans="18:18" ht="15" customHeight="1" x14ac:dyDescent="0.2">
      <c r="R89" s="31"/>
    </row>
    <row r="90" spans="18:18" ht="15" customHeight="1" x14ac:dyDescent="0.2">
      <c r="R90" s="31"/>
    </row>
    <row r="91" spans="18:18" ht="15" customHeight="1" x14ac:dyDescent="0.2">
      <c r="R91" s="31"/>
    </row>
    <row r="92" spans="18:18" ht="15" customHeight="1" x14ac:dyDescent="0.2">
      <c r="R92" s="31"/>
    </row>
    <row r="93" spans="18:18" ht="15" customHeight="1" x14ac:dyDescent="0.2">
      <c r="R93" s="31"/>
    </row>
    <row r="94" spans="18:18" ht="15" customHeight="1" x14ac:dyDescent="0.2">
      <c r="R94" s="31"/>
    </row>
    <row r="95" spans="18:18" ht="15" customHeight="1" x14ac:dyDescent="0.2">
      <c r="R95" s="31"/>
    </row>
    <row r="96" spans="18:18" ht="15" customHeight="1" x14ac:dyDescent="0.2">
      <c r="R96" s="31"/>
    </row>
    <row r="97" spans="18:18" ht="15" customHeight="1" x14ac:dyDescent="0.2">
      <c r="R97" s="31"/>
    </row>
    <row r="98" spans="18:18" ht="15" customHeight="1" x14ac:dyDescent="0.2">
      <c r="R98" s="31"/>
    </row>
    <row r="99" spans="18:18" ht="15" customHeight="1" x14ac:dyDescent="0.2">
      <c r="R99" s="31"/>
    </row>
    <row r="100" spans="18:18" ht="15" customHeight="1" x14ac:dyDescent="0.2">
      <c r="R100" s="31"/>
    </row>
    <row r="101" spans="18:18" ht="15" customHeight="1" x14ac:dyDescent="0.2">
      <c r="R101" s="31"/>
    </row>
    <row r="102" spans="18:18" ht="15" customHeight="1" x14ac:dyDescent="0.2">
      <c r="R102" s="31"/>
    </row>
    <row r="103" spans="18:18" ht="15" customHeight="1" x14ac:dyDescent="0.2">
      <c r="R103" s="31"/>
    </row>
    <row r="104" spans="18:18" ht="15" customHeight="1" x14ac:dyDescent="0.2">
      <c r="R104" s="31"/>
    </row>
    <row r="105" spans="18:18" ht="15" customHeight="1" x14ac:dyDescent="0.2">
      <c r="R105" s="31"/>
    </row>
    <row r="106" spans="18:18" ht="15" customHeight="1" x14ac:dyDescent="0.2">
      <c r="R106" s="31"/>
    </row>
    <row r="107" spans="18:18" ht="15" customHeight="1" x14ac:dyDescent="0.2">
      <c r="R107" s="31"/>
    </row>
    <row r="108" spans="18:18" ht="15" customHeight="1" x14ac:dyDescent="0.2">
      <c r="R108" s="31"/>
    </row>
    <row r="109" spans="18:18" ht="15" customHeight="1" x14ac:dyDescent="0.2">
      <c r="R109" s="31"/>
    </row>
    <row r="110" spans="18:18" ht="15" customHeight="1" x14ac:dyDescent="0.2">
      <c r="R110" s="31"/>
    </row>
    <row r="111" spans="18:18" ht="15" customHeight="1" x14ac:dyDescent="0.2">
      <c r="R111" s="31"/>
    </row>
    <row r="112" spans="18:18" ht="15" customHeight="1" x14ac:dyDescent="0.2">
      <c r="R112" s="31"/>
    </row>
    <row r="113" spans="18:18" ht="15" customHeight="1" x14ac:dyDescent="0.2">
      <c r="R113" s="31"/>
    </row>
    <row r="114" spans="18:18" ht="15" customHeight="1" x14ac:dyDescent="0.2">
      <c r="R114" s="31"/>
    </row>
    <row r="115" spans="18:18" ht="15" customHeight="1" x14ac:dyDescent="0.2">
      <c r="R115" s="31"/>
    </row>
    <row r="116" spans="18:18" ht="15" customHeight="1" x14ac:dyDescent="0.2">
      <c r="R116" s="31"/>
    </row>
    <row r="117" spans="18:18" ht="15" customHeight="1" x14ac:dyDescent="0.2">
      <c r="R117" s="31"/>
    </row>
    <row r="118" spans="18:18" ht="15" customHeight="1" x14ac:dyDescent="0.2">
      <c r="R118" s="31"/>
    </row>
  </sheetData>
  <autoFilter ref="A3:AL51"/>
  <mergeCells count="108">
    <mergeCell ref="AI23:AI25"/>
    <mergeCell ref="AJ23:AJ25"/>
    <mergeCell ref="AK23:AK25"/>
    <mergeCell ref="AL23:AL25"/>
    <mergeCell ref="AB23:AB25"/>
    <mergeCell ref="A28:A29"/>
    <mergeCell ref="B28:B29"/>
    <mergeCell ref="E28:E29"/>
    <mergeCell ref="F28:F29"/>
    <mergeCell ref="G28:G29"/>
    <mergeCell ref="AK28:AK29"/>
    <mergeCell ref="A23:A25"/>
    <mergeCell ref="B23:B25"/>
    <mergeCell ref="E23:E25"/>
    <mergeCell ref="A26:A27"/>
    <mergeCell ref="B26:B27"/>
    <mergeCell ref="E26:E27"/>
    <mergeCell ref="N26:N27"/>
    <mergeCell ref="O26:O27"/>
    <mergeCell ref="X26:X27"/>
    <mergeCell ref="Y26:Y27"/>
    <mergeCell ref="Z26:Z27"/>
    <mergeCell ref="AB26:AB27"/>
    <mergeCell ref="AC26:AC27"/>
    <mergeCell ref="F2:H2"/>
    <mergeCell ref="J2:L2"/>
    <mergeCell ref="AB2:AF2"/>
    <mergeCell ref="AH2:AL2"/>
    <mergeCell ref="A21:A22"/>
    <mergeCell ref="N21:N22"/>
    <mergeCell ref="O21:O22"/>
    <mergeCell ref="P21:P22"/>
    <mergeCell ref="Q21:Q22"/>
    <mergeCell ref="S21:S22"/>
    <mergeCell ref="U21:U22"/>
    <mergeCell ref="W21:W22"/>
    <mergeCell ref="X21:X22"/>
    <mergeCell ref="Y21:Y22"/>
    <mergeCell ref="Z21:Z22"/>
    <mergeCell ref="AB21:AB22"/>
    <mergeCell ref="AI21:AI22"/>
    <mergeCell ref="AJ21:AJ22"/>
    <mergeCell ref="AK21:AK22"/>
    <mergeCell ref="AL21:AL22"/>
    <mergeCell ref="B21:B22"/>
    <mergeCell ref="E21:E22"/>
    <mergeCell ref="F21:F22"/>
    <mergeCell ref="G21:G22"/>
    <mergeCell ref="H21:H22"/>
    <mergeCell ref="AC21:AC22"/>
    <mergeCell ref="AD21:AD22"/>
    <mergeCell ref="AE21:AE22"/>
    <mergeCell ref="AF21:AF22"/>
    <mergeCell ref="AH21:AH22"/>
    <mergeCell ref="U23:U25"/>
    <mergeCell ref="W23:W25"/>
    <mergeCell ref="X23:X25"/>
    <mergeCell ref="Y23:Y25"/>
    <mergeCell ref="Z23:Z25"/>
    <mergeCell ref="AC23:AC25"/>
    <mergeCell ref="AD23:AD25"/>
    <mergeCell ref="AE23:AE25"/>
    <mergeCell ref="AF23:AF25"/>
    <mergeCell ref="AH23:AH25"/>
    <mergeCell ref="N23:N25"/>
    <mergeCell ref="O23:O25"/>
    <mergeCell ref="P23:P25"/>
    <mergeCell ref="Q23:Q25"/>
    <mergeCell ref="R23:R25"/>
    <mergeCell ref="S23:S25"/>
    <mergeCell ref="F57:H57"/>
    <mergeCell ref="J57:L57"/>
    <mergeCell ref="AB57:AF57"/>
    <mergeCell ref="AH57:AL57"/>
    <mergeCell ref="H28:H29"/>
    <mergeCell ref="N28:N29"/>
    <mergeCell ref="O28:O29"/>
    <mergeCell ref="P28:P29"/>
    <mergeCell ref="Q28:Q29"/>
    <mergeCell ref="S28:S29"/>
    <mergeCell ref="U28:U29"/>
    <mergeCell ref="W28:W29"/>
    <mergeCell ref="X28:X29"/>
    <mergeCell ref="Y28:Y29"/>
    <mergeCell ref="Z28:Z29"/>
    <mergeCell ref="AB28:AB29"/>
    <mergeCell ref="AC28:AC29"/>
    <mergeCell ref="AD28:AD29"/>
    <mergeCell ref="AF28:AF29"/>
    <mergeCell ref="P26:P27"/>
    <mergeCell ref="Q26:Q27"/>
    <mergeCell ref="S26:S27"/>
    <mergeCell ref="U26:U27"/>
    <mergeCell ref="W26:W27"/>
    <mergeCell ref="AB55:AF55"/>
    <mergeCell ref="AJ26:AJ27"/>
    <mergeCell ref="AK26:AK27"/>
    <mergeCell ref="AL26:AL27"/>
    <mergeCell ref="AD26:AD27"/>
    <mergeCell ref="AE26:AE27"/>
    <mergeCell ref="AF26:AF27"/>
    <mergeCell ref="AH26:AH27"/>
    <mergeCell ref="AI26:AI27"/>
    <mergeCell ref="AL28:AL29"/>
    <mergeCell ref="AH28:AH29"/>
    <mergeCell ref="AI28:AI29"/>
    <mergeCell ref="AJ28:AJ29"/>
    <mergeCell ref="AE28:AE29"/>
  </mergeCells>
  <hyperlinks>
    <hyperlink ref="H8" r:id="rId1"/>
    <hyperlink ref="H6" r:id="rId2"/>
    <hyperlink ref="H21" r:id="rId3"/>
    <hyperlink ref="H11" r:id="rId4"/>
    <hyperlink ref="H12" r:id="rId5"/>
    <hyperlink ref="H13" r:id="rId6"/>
    <hyperlink ref="H14" r:id="rId7"/>
    <hyperlink ref="H15" r:id="rId8"/>
    <hyperlink ref="H17" r:id="rId9"/>
    <hyperlink ref="H18" r:id="rId10"/>
    <hyperlink ref="H30" r:id="rId11"/>
    <hyperlink ref="H31" r:id="rId12"/>
    <hyperlink ref="H40" r:id="rId13"/>
    <hyperlink ref="H43" r:id="rId14"/>
    <hyperlink ref="H47" r:id="rId15"/>
    <hyperlink ref="H48" r:id="rId16"/>
    <hyperlink ref="H49" r:id="rId17"/>
    <hyperlink ref="H33" r:id="rId18"/>
    <hyperlink ref="L33" r:id="rId19"/>
    <hyperlink ref="L49" r:id="rId20"/>
    <hyperlink ref="L8" r:id="rId21"/>
    <hyperlink ref="L6" r:id="rId22"/>
    <hyperlink ref="L11" r:id="rId23"/>
    <hyperlink ref="L12" r:id="rId24"/>
    <hyperlink ref="L13" r:id="rId25"/>
    <hyperlink ref="L14" r:id="rId26"/>
    <hyperlink ref="L15" r:id="rId27"/>
    <hyperlink ref="L17" r:id="rId28"/>
    <hyperlink ref="L18" r:id="rId29"/>
    <hyperlink ref="L30" r:id="rId30"/>
    <hyperlink ref="L31" r:id="rId31"/>
    <hyperlink ref="L40" r:id="rId32"/>
    <hyperlink ref="L43" r:id="rId33"/>
    <hyperlink ref="L47" r:id="rId34"/>
    <hyperlink ref="L48" r:id="rId35"/>
    <hyperlink ref="H39" r:id="rId36"/>
    <hyperlink ref="L39" r:id="rId37"/>
    <hyperlink ref="H23" r:id="rId38"/>
    <hyperlink ref="H9" r:id="rId39"/>
    <hyperlink ref="L36" r:id="rId40"/>
    <hyperlink ref="L23" r:id="rId41"/>
    <hyperlink ref="L9" r:id="rId42"/>
    <hyperlink ref="L16" r:id="rId43"/>
    <hyperlink ref="H36" r:id="rId44"/>
    <hyperlink ref="H16" r:id="rId45"/>
    <hyperlink ref="L21" r:id="rId46"/>
    <hyperlink ref="L22" r:id="rId47"/>
    <hyperlink ref="L29" r:id="rId48"/>
    <hyperlink ref="H24" r:id="rId49"/>
    <hyperlink ref="L24" r:id="rId50"/>
    <hyperlink ref="L34" r:id="rId51"/>
    <hyperlink ref="H19" r:id="rId52"/>
    <hyperlink ref="L19" r:id="rId53"/>
    <hyperlink ref="H38" r:id="rId54"/>
    <hyperlink ref="L38" r:id="rId55"/>
    <hyperlink ref="L28" r:id="rId56"/>
    <hyperlink ref="H28:H29" r:id="rId57" display="View"/>
    <hyperlink ref="L5" r:id="rId58"/>
    <hyperlink ref="H5" r:id="rId59"/>
    <hyperlink ref="L44" r:id="rId60"/>
    <hyperlink ref="L51" r:id="rId61"/>
    <hyperlink ref="H51" r:id="rId62"/>
    <hyperlink ref="H44" r:id="rId63"/>
    <hyperlink ref="H7" r:id="rId64"/>
    <hyperlink ref="L7" r:id="rId65"/>
    <hyperlink ref="H10" r:id="rId66"/>
    <hyperlink ref="L10" r:id="rId67"/>
    <hyperlink ref="L46" r:id="rId68"/>
    <hyperlink ref="H46" r:id="rId69"/>
    <hyperlink ref="H45" r:id="rId70"/>
    <hyperlink ref="L45" r:id="rId71"/>
    <hyperlink ref="L61" r:id="rId72"/>
    <hyperlink ref="L62" r:id="rId73"/>
    <hyperlink ref="H62" r:id="rId74"/>
    <hyperlink ref="H61" r:id="rId75"/>
    <hyperlink ref="L37" r:id="rId76"/>
    <hyperlink ref="H37" r:id="rId77"/>
    <hyperlink ref="L42" r:id="rId78"/>
    <hyperlink ref="H42" r:id="rId79"/>
    <hyperlink ref="H26" r:id="rId80"/>
    <hyperlink ref="L26" r:id="rId81"/>
    <hyperlink ref="H41" r:id="rId82"/>
    <hyperlink ref="L41" r:id="rId83"/>
    <hyperlink ref="L25" r:id="rId84"/>
    <hyperlink ref="H25" r:id="rId85"/>
    <hyperlink ref="H63" r:id="rId86"/>
    <hyperlink ref="L63" r:id="rId87"/>
  </hyperlinks>
  <pageMargins left="0.17" right="0.17" top="0.25" bottom="0.25" header="0" footer="0"/>
  <pageSetup paperSize="17" scale="29" fitToHeight="0" orientation="landscape" r:id="rId88"/>
  <ignoredErrors>
    <ignoredError sqref="Y1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 (tax year 2019</vt:lpstr>
      <vt:lpstr>'FY 20 (tax year 2019'!Print_Area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Brouner, Lee</dc:creator>
  <cp:lastModifiedBy>Cannon, Shelia</cp:lastModifiedBy>
  <cp:lastPrinted>2019-10-15T18:36:57Z</cp:lastPrinted>
  <dcterms:created xsi:type="dcterms:W3CDTF">2015-03-25T18:15:22Z</dcterms:created>
  <dcterms:modified xsi:type="dcterms:W3CDTF">2020-01-28T19:40:49Z</dcterms:modified>
</cp:coreProperties>
</file>