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bookViews>
    <workbookView xWindow="-15" yWindow="-15" windowWidth="24000" windowHeight="9330"/>
  </bookViews>
  <sheets>
    <sheet name="FY 21 with notes (tax year 2020" sheetId="9" r:id="rId1"/>
  </sheets>
  <definedNames>
    <definedName name="_xlnm._FilterDatabase" localSheetId="0" hidden="1">'FY 21 with notes (tax year 2020'!$A$3:$AL$53</definedName>
    <definedName name="_xlnm.Print_Area" localSheetId="0">'FY 21 with notes (tax year 2020'!$A$1:$AL$67</definedName>
  </definedNames>
  <calcPr calcId="162913"/>
</workbook>
</file>

<file path=xl/calcChain.xml><?xml version="1.0" encoding="utf-8"?>
<calcChain xmlns="http://schemas.openxmlformats.org/spreadsheetml/2006/main">
  <c r="AB64" i="9" l="1"/>
  <c r="AB65" i="9"/>
  <c r="AB63" i="9"/>
  <c r="AC64" i="9" l="1"/>
  <c r="AC65" i="9" l="1"/>
  <c r="AC63" i="9" l="1"/>
  <c r="U32" i="9" l="1"/>
  <c r="AB29" i="9"/>
  <c r="U29" i="9"/>
  <c r="U17" i="9"/>
  <c r="W17" i="9" s="1"/>
  <c r="AC16" i="9"/>
  <c r="AB16" i="9"/>
  <c r="U16" i="9"/>
  <c r="U48" i="9"/>
  <c r="U49" i="9"/>
  <c r="U50" i="9"/>
  <c r="U47" i="9"/>
  <c r="U15" i="9"/>
  <c r="U53" i="9"/>
  <c r="U44" i="9"/>
  <c r="AC12" i="9"/>
  <c r="AB12" i="9"/>
  <c r="U12" i="9"/>
  <c r="U43" i="9"/>
  <c r="AE27" i="9"/>
  <c r="U26" i="9"/>
  <c r="AB42" i="9"/>
  <c r="U34" i="9"/>
  <c r="U35" i="9"/>
  <c r="U38" i="9"/>
  <c r="U11" i="9"/>
  <c r="U10" i="9"/>
  <c r="U41" i="9"/>
  <c r="U9" i="9"/>
  <c r="U23" i="9"/>
  <c r="AC21" i="9"/>
  <c r="AB21" i="9"/>
  <c r="U21" i="9"/>
  <c r="AK40" i="9"/>
  <c r="U40" i="9"/>
  <c r="U8" i="9"/>
  <c r="U7" i="9"/>
  <c r="W63" i="9" l="1"/>
  <c r="AD65" i="9" l="1"/>
  <c r="Y65" i="9"/>
  <c r="AJ65" i="9" s="1"/>
  <c r="W65" i="9"/>
  <c r="AK43" i="9"/>
  <c r="Y43" i="9"/>
  <c r="AD43" i="9" s="1"/>
  <c r="AF43" i="9" s="1"/>
  <c r="W43" i="9"/>
  <c r="AH65" i="9" l="1"/>
  <c r="AJ43" i="9"/>
  <c r="AH43" i="9"/>
  <c r="AK44" i="9" l="1"/>
  <c r="AF44" i="9"/>
  <c r="W44" i="9"/>
  <c r="W35" i="9"/>
  <c r="W34" i="9"/>
  <c r="AB34" i="9" s="1"/>
  <c r="U42" i="9"/>
  <c r="W10" i="9"/>
  <c r="AB10" i="9" s="1"/>
  <c r="AB35" i="9" l="1"/>
  <c r="Y44" i="9"/>
  <c r="AJ44" i="9" s="1"/>
  <c r="AH44" i="9"/>
  <c r="Y10" i="9"/>
  <c r="AD10" i="9" s="1"/>
  <c r="P23" i="9"/>
  <c r="S23" i="9"/>
  <c r="AC67" i="9" l="1"/>
  <c r="AB67" i="9" l="1"/>
  <c r="AD64" i="9"/>
  <c r="AD63" i="9"/>
  <c r="AD67" i="9" s="1"/>
  <c r="Y64" i="9" l="1"/>
  <c r="AJ64" i="9" s="1"/>
  <c r="W64" i="9"/>
  <c r="AH64" i="9" l="1"/>
  <c r="AJ10" i="9"/>
  <c r="AH10" i="9"/>
  <c r="AF53" i="9" l="1"/>
  <c r="AK53" i="9"/>
  <c r="W9" i="9" l="1"/>
  <c r="AB9" i="9" s="1"/>
  <c r="Y9" i="9"/>
  <c r="AD9" i="9" l="1"/>
  <c r="AJ9" i="9" s="1"/>
  <c r="AH9" i="9"/>
  <c r="Y53" i="9"/>
  <c r="AJ53" i="9" s="1"/>
  <c r="W53" i="9"/>
  <c r="AH53" i="9" l="1"/>
  <c r="W39" i="9" l="1"/>
  <c r="AB39" i="9" s="1"/>
  <c r="AH39" i="9" s="1"/>
  <c r="AK39" i="9"/>
  <c r="U39" i="9"/>
  <c r="Y39" i="9" s="1"/>
  <c r="AD39" i="9" l="1"/>
  <c r="AJ39" i="9" s="1"/>
  <c r="W26" i="9" l="1"/>
  <c r="AB26" i="9" l="1"/>
  <c r="AH26" i="9" s="1"/>
  <c r="Y26" i="9"/>
  <c r="AD26" i="9" l="1"/>
  <c r="AJ26" i="9" s="1"/>
  <c r="AH35" i="9"/>
  <c r="Y35" i="9"/>
  <c r="W8" i="9"/>
  <c r="AB8" i="9" l="1"/>
  <c r="Y8" i="9"/>
  <c r="AD35" i="9"/>
  <c r="Y63" i="9"/>
  <c r="W67" i="9" l="1"/>
  <c r="AH63" i="9"/>
  <c r="Y67" i="9"/>
  <c r="AJ63" i="9"/>
  <c r="AJ35" i="9"/>
  <c r="Y19" i="9"/>
  <c r="W19" i="9"/>
  <c r="AB19" i="9" s="1"/>
  <c r="AJ67" i="9" l="1"/>
  <c r="AE19" i="9"/>
  <c r="AK19" i="9" s="1"/>
  <c r="AH19" i="9"/>
  <c r="AH67" i="9"/>
  <c r="AD19" i="9"/>
  <c r="AJ19" i="9" s="1"/>
  <c r="AK47" i="9"/>
  <c r="Y47" i="9"/>
  <c r="AD47" i="9" s="1"/>
  <c r="AF47" i="9" s="1"/>
  <c r="W47" i="9"/>
  <c r="AH47" i="9" s="1"/>
  <c r="AJ47" i="9" l="1"/>
  <c r="Y23" i="9"/>
  <c r="W23" i="9"/>
  <c r="AB23" i="9" l="1"/>
  <c r="AH23" i="9"/>
  <c r="AD23" i="9"/>
  <c r="X1" i="9"/>
  <c r="AK38" i="9"/>
  <c r="W38" i="9"/>
  <c r="AH38" i="9" s="1"/>
  <c r="Y38" i="9"/>
  <c r="AC45" i="9" l="1"/>
  <c r="AD45" i="9" s="1"/>
  <c r="AD50" i="9"/>
  <c r="AC42" i="9"/>
  <c r="AD42" i="9" s="1"/>
  <c r="AD29" i="9"/>
  <c r="AC29" i="9"/>
  <c r="AD49" i="9"/>
  <c r="X65" i="9"/>
  <c r="X43" i="9"/>
  <c r="AC49" i="9"/>
  <c r="X44" i="9"/>
  <c r="X10" i="9"/>
  <c r="X34" i="9"/>
  <c r="AC34" i="9" s="1"/>
  <c r="X64" i="9"/>
  <c r="X9" i="9"/>
  <c r="AC9" i="9" s="1"/>
  <c r="X53" i="9"/>
  <c r="X39" i="9"/>
  <c r="X26" i="9"/>
  <c r="AD38" i="9"/>
  <c r="AF38" i="9" s="1"/>
  <c r="X35" i="9"/>
  <c r="X63" i="9"/>
  <c r="X19" i="9"/>
  <c r="AC19" i="9" s="1"/>
  <c r="X38" i="9"/>
  <c r="AI38" i="9" s="1"/>
  <c r="X47" i="9"/>
  <c r="AC50" i="9"/>
  <c r="X23" i="9"/>
  <c r="AJ23" i="9"/>
  <c r="AI65" i="9" l="1"/>
  <c r="AE65" i="9" s="1"/>
  <c r="Z65" i="9"/>
  <c r="AI43" i="9"/>
  <c r="Z43" i="9"/>
  <c r="AL43" i="9" s="1"/>
  <c r="AC10" i="9"/>
  <c r="AI10" i="9" s="1"/>
  <c r="AC35" i="9"/>
  <c r="AI35" i="9" s="1"/>
  <c r="AE35" i="9"/>
  <c r="AK35" i="9" s="1"/>
  <c r="AC23" i="9"/>
  <c r="AC26" i="9"/>
  <c r="AE26" i="9"/>
  <c r="AK26" i="9" s="1"/>
  <c r="AI44" i="9"/>
  <c r="Z44" i="9"/>
  <c r="AL44" i="9" s="1"/>
  <c r="AE9" i="9"/>
  <c r="AK9" i="9" s="1"/>
  <c r="AI23" i="9"/>
  <c r="AE23" i="9"/>
  <c r="AK23" i="9" s="1"/>
  <c r="Z10" i="9"/>
  <c r="AE10" i="9"/>
  <c r="Z26" i="9"/>
  <c r="Z39" i="9"/>
  <c r="AC39" i="9"/>
  <c r="AF39" i="9" s="1"/>
  <c r="Z9" i="9"/>
  <c r="AI53" i="9"/>
  <c r="Z53" i="9"/>
  <c r="AL53" i="9" s="1"/>
  <c r="AI64" i="9"/>
  <c r="Z64" i="9"/>
  <c r="Z63" i="9"/>
  <c r="AI63" i="9"/>
  <c r="AE63" i="9" s="1"/>
  <c r="X67" i="9"/>
  <c r="AF19" i="9"/>
  <c r="Z19" i="9"/>
  <c r="Z38" i="9"/>
  <c r="AL38" i="9" s="1"/>
  <c r="Z35" i="9"/>
  <c r="AJ38" i="9"/>
  <c r="Z23" i="9"/>
  <c r="AI47" i="9"/>
  <c r="Z47" i="9"/>
  <c r="AL47" i="9" s="1"/>
  <c r="W48" i="9"/>
  <c r="AK48" i="9"/>
  <c r="AE64" i="9" l="1"/>
  <c r="AE67" i="9" s="1"/>
  <c r="AF65" i="9"/>
  <c r="AL65" i="9" s="1"/>
  <c r="AK65" i="9"/>
  <c r="AF9" i="9"/>
  <c r="AL9" i="9" s="1"/>
  <c r="AF35" i="9"/>
  <c r="AL35" i="9" s="1"/>
  <c r="AF10" i="9"/>
  <c r="AL10" i="9" s="1"/>
  <c r="AK10" i="9"/>
  <c r="AL39" i="9"/>
  <c r="AI9" i="9"/>
  <c r="Z67" i="9"/>
  <c r="AI39" i="9"/>
  <c r="AF23" i="9"/>
  <c r="AL23" i="9" s="1"/>
  <c r="AI26" i="9"/>
  <c r="AF26" i="9"/>
  <c r="AL26" i="9" s="1"/>
  <c r="AI67" i="9"/>
  <c r="AN67" i="9" s="1"/>
  <c r="AL19" i="9"/>
  <c r="AI19" i="9"/>
  <c r="AH48" i="9"/>
  <c r="Y48" i="9"/>
  <c r="AD48" i="9" s="1"/>
  <c r="AF48" i="9" s="1"/>
  <c r="AK7" i="9"/>
  <c r="Y7" i="9"/>
  <c r="AK64" i="9" l="1"/>
  <c r="AF64" i="9"/>
  <c r="AL64" i="9" s="1"/>
  <c r="AF63" i="9"/>
  <c r="AF67" i="9" s="1"/>
  <c r="AK63" i="9"/>
  <c r="AJ48" i="9"/>
  <c r="AD7" i="9"/>
  <c r="AJ7" i="9" s="1"/>
  <c r="W7" i="9"/>
  <c r="AK67" i="9" l="1"/>
  <c r="AL63" i="9"/>
  <c r="AL67" i="9" s="1"/>
  <c r="AB7" i="9"/>
  <c r="AH7" i="9" l="1"/>
  <c r="Y5" i="9" l="1"/>
  <c r="AD5" i="9" s="1"/>
  <c r="Y40" i="9" l="1"/>
  <c r="W40" i="9"/>
  <c r="AH40" i="9" s="1"/>
  <c r="AD40" i="9" l="1"/>
  <c r="AF40" i="9" s="1"/>
  <c r="AJ40" i="9"/>
  <c r="AK51" i="9"/>
  <c r="AF51" i="9"/>
  <c r="AK50" i="9"/>
  <c r="AB50" i="9"/>
  <c r="Y50" i="9"/>
  <c r="AJ50" i="9" s="1"/>
  <c r="AK49" i="9"/>
  <c r="AK45" i="9"/>
  <c r="AF45" i="9"/>
  <c r="Y45" i="9"/>
  <c r="W45" i="9"/>
  <c r="AK42" i="9"/>
  <c r="AF42" i="9"/>
  <c r="Y42" i="9"/>
  <c r="AJ42" i="9" s="1"/>
  <c r="W42" i="9"/>
  <c r="AH42" i="9" s="1"/>
  <c r="AK41" i="9"/>
  <c r="Y41" i="9"/>
  <c r="AD41" i="9" s="1"/>
  <c r="W41" i="9"/>
  <c r="AH41" i="9" s="1"/>
  <c r="AK34" i="9"/>
  <c r="Y34" i="9"/>
  <c r="AD34" i="9" s="1"/>
  <c r="S34" i="9"/>
  <c r="AK32" i="9"/>
  <c r="AF32" i="9"/>
  <c r="Y32" i="9"/>
  <c r="AD32" i="9" s="1"/>
  <c r="S32" i="9"/>
  <c r="AK31" i="9"/>
  <c r="Y31" i="9"/>
  <c r="AD31" i="9" s="1"/>
  <c r="S31" i="9"/>
  <c r="AK29" i="9"/>
  <c r="Y29" i="9"/>
  <c r="S29" i="9"/>
  <c r="AK21" i="9"/>
  <c r="W21" i="9"/>
  <c r="AK18" i="9"/>
  <c r="AJ18" i="9"/>
  <c r="AI18" i="9"/>
  <c r="AH18" i="9"/>
  <c r="AF18" i="9"/>
  <c r="Z18" i="9"/>
  <c r="AK17" i="9"/>
  <c r="Y16" i="9"/>
  <c r="AD16" i="9" s="1"/>
  <c r="AK14" i="9"/>
  <c r="Y14" i="9"/>
  <c r="AD14" i="9" s="1"/>
  <c r="AF14" i="9" s="1"/>
  <c r="W14" i="9"/>
  <c r="AH14" i="9" s="1"/>
  <c r="AK13" i="9"/>
  <c r="Y13" i="9"/>
  <c r="AD13" i="9" s="1"/>
  <c r="W13" i="9"/>
  <c r="Y12" i="9"/>
  <c r="AD12" i="9" s="1"/>
  <c r="AK11" i="9"/>
  <c r="W11" i="9"/>
  <c r="AK6" i="9"/>
  <c r="Y6" i="9"/>
  <c r="AD6" i="9" s="1"/>
  <c r="W6" i="9"/>
  <c r="AH6" i="9" s="1"/>
  <c r="S6" i="9"/>
  <c r="P8" i="9"/>
  <c r="AK5" i="9"/>
  <c r="AJ5" i="9"/>
  <c r="AF5" i="9"/>
  <c r="W5" i="9"/>
  <c r="X48" i="9"/>
  <c r="AH45" i="9" l="1"/>
  <c r="AJ45" i="9"/>
  <c r="AI48" i="9"/>
  <c r="Z48" i="9"/>
  <c r="AL48" i="9" s="1"/>
  <c r="X8" i="9"/>
  <c r="X41" i="9"/>
  <c r="Z41" i="9" s="1"/>
  <c r="X7" i="9"/>
  <c r="AL18" i="9"/>
  <c r="W16" i="9"/>
  <c r="AJ41" i="9"/>
  <c r="AF49" i="9"/>
  <c r="X49" i="9"/>
  <c r="AI49" i="9" s="1"/>
  <c r="X21" i="9"/>
  <c r="AI21" i="9" s="1"/>
  <c r="AF41" i="9"/>
  <c r="Y11" i="9"/>
  <c r="AD11" i="9" s="1"/>
  <c r="Y21" i="9"/>
  <c r="AD21" i="9" s="1"/>
  <c r="AF21" i="9" s="1"/>
  <c r="X13" i="9"/>
  <c r="Z13" i="9" s="1"/>
  <c r="X15" i="9"/>
  <c r="Y15" i="9"/>
  <c r="AF50" i="9"/>
  <c r="W12" i="9"/>
  <c r="X45" i="9"/>
  <c r="X14" i="9"/>
  <c r="AI14" i="9" s="1"/>
  <c r="AI34" i="9"/>
  <c r="AD8" i="9"/>
  <c r="Y49" i="9"/>
  <c r="AJ49" i="9" s="1"/>
  <c r="AJ29" i="9"/>
  <c r="X40" i="9"/>
  <c r="X5" i="9"/>
  <c r="AI5" i="9" s="1"/>
  <c r="X11" i="9"/>
  <c r="AJ14" i="9"/>
  <c r="AH21" i="9"/>
  <c r="AF6" i="9"/>
  <c r="AJ6" i="9"/>
  <c r="AB11" i="9"/>
  <c r="Y17" i="9"/>
  <c r="X17" i="9"/>
  <c r="AI17" i="9" s="1"/>
  <c r="AJ31" i="9"/>
  <c r="W51" i="9"/>
  <c r="Y51" i="9"/>
  <c r="AJ51" i="9" s="1"/>
  <c r="X51" i="9"/>
  <c r="AI51" i="9" s="1"/>
  <c r="AH17" i="9"/>
  <c r="AJ13" i="9"/>
  <c r="AJ16" i="9"/>
  <c r="AJ34" i="9"/>
  <c r="W32" i="9"/>
  <c r="AJ32" i="9"/>
  <c r="X32" i="9"/>
  <c r="AI32" i="9" s="1"/>
  <c r="AH5" i="9"/>
  <c r="AJ12" i="9"/>
  <c r="X6" i="9"/>
  <c r="AI6" i="9" s="1"/>
  <c r="AB13" i="9"/>
  <c r="W29" i="9"/>
  <c r="X31" i="9"/>
  <c r="AC31" i="9" s="1"/>
  <c r="W50" i="9"/>
  <c r="W31" i="9"/>
  <c r="AB31" i="9" s="1"/>
  <c r="X29" i="9"/>
  <c r="X50" i="9"/>
  <c r="AI50" i="9" s="1"/>
  <c r="X12" i="9"/>
  <c r="W15" i="9"/>
  <c r="X16" i="9"/>
  <c r="X42" i="9"/>
  <c r="W49" i="9"/>
  <c r="AC8" i="9" l="1"/>
  <c r="AE8" i="9"/>
  <c r="AK8" i="9" s="1"/>
  <c r="Z40" i="9"/>
  <c r="AL40" i="9" s="1"/>
  <c r="AI40" i="9"/>
  <c r="AD15" i="9"/>
  <c r="AJ15" i="9" s="1"/>
  <c r="AN16" i="9"/>
  <c r="AH16" i="9"/>
  <c r="AE16" i="9"/>
  <c r="AC15" i="9"/>
  <c r="AE15" i="9"/>
  <c r="AK15" i="9" s="1"/>
  <c r="AH12" i="9"/>
  <c r="AE12" i="9"/>
  <c r="AB15" i="9"/>
  <c r="AI45" i="9"/>
  <c r="AC13" i="9"/>
  <c r="AI13" i="9" s="1"/>
  <c r="AF29" i="9"/>
  <c r="AI15" i="9"/>
  <c r="AN15" i="9"/>
  <c r="AC7" i="9"/>
  <c r="Z7" i="9"/>
  <c r="AJ11" i="9"/>
  <c r="AL41" i="9"/>
  <c r="AI29" i="9"/>
  <c r="AJ21" i="9"/>
  <c r="Z5" i="9"/>
  <c r="AL5" i="9" s="1"/>
  <c r="Z11" i="9"/>
  <c r="Z21" i="9"/>
  <c r="AL21" i="9" s="1"/>
  <c r="Z45" i="9"/>
  <c r="AL45" i="9" s="1"/>
  <c r="AI41" i="9"/>
  <c r="Z14" i="9"/>
  <c r="AL14" i="9" s="1"/>
  <c r="W55" i="9"/>
  <c r="Z17" i="9"/>
  <c r="AC11" i="9"/>
  <c r="AF11" i="9" s="1"/>
  <c r="Y55" i="9"/>
  <c r="X55" i="9"/>
  <c r="Z34" i="9"/>
  <c r="AF34" i="9"/>
  <c r="AI16" i="9"/>
  <c r="Z16" i="9"/>
  <c r="Z15" i="9"/>
  <c r="Z31" i="9"/>
  <c r="Z6" i="9"/>
  <c r="AL6" i="9" s="1"/>
  <c r="AH11" i="9"/>
  <c r="AI12" i="9"/>
  <c r="AN12" i="9" s="1"/>
  <c r="Z12" i="9"/>
  <c r="Z50" i="9"/>
  <c r="AL50" i="9" s="1"/>
  <c r="AH50" i="9"/>
  <c r="AJ8" i="9"/>
  <c r="AH49" i="9"/>
  <c r="Z49" i="9"/>
  <c r="AL49" i="9" s="1"/>
  <c r="AF17" i="9"/>
  <c r="AH13" i="9"/>
  <c r="AH8" i="9"/>
  <c r="Z8" i="9"/>
  <c r="AH32" i="9"/>
  <c r="Z32" i="9"/>
  <c r="AL32" i="9" s="1"/>
  <c r="AI42" i="9"/>
  <c r="Z42" i="9"/>
  <c r="AL42" i="9" s="1"/>
  <c r="AI31" i="9"/>
  <c r="Z29" i="9"/>
  <c r="AH29" i="9"/>
  <c r="AH51" i="9"/>
  <c r="Z51" i="9"/>
  <c r="AL51" i="9" s="1"/>
  <c r="AF8" i="9" l="1"/>
  <c r="AF12" i="9"/>
  <c r="AL12" i="9" s="1"/>
  <c r="AK12" i="9"/>
  <c r="AK16" i="9"/>
  <c r="AF16" i="9"/>
  <c r="AL16" i="9" s="1"/>
  <c r="AE55" i="9"/>
  <c r="AI8" i="9"/>
  <c r="AL8" i="9"/>
  <c r="AF13" i="9"/>
  <c r="AL13" i="9" s="1"/>
  <c r="AL29" i="9"/>
  <c r="AF15" i="9"/>
  <c r="AL15" i="9" s="1"/>
  <c r="AC55" i="9"/>
  <c r="AI7" i="9"/>
  <c r="AF7" i="9"/>
  <c r="AL7" i="9" s="1"/>
  <c r="AF31" i="9"/>
  <c r="AL31" i="9" s="1"/>
  <c r="AL11" i="9"/>
  <c r="AL17" i="9"/>
  <c r="AI11" i="9"/>
  <c r="Z55" i="9"/>
  <c r="AB55" i="9"/>
  <c r="AD55" i="9"/>
  <c r="AJ17" i="9"/>
  <c r="AJ55" i="9" s="1"/>
  <c r="AH15" i="9"/>
  <c r="AH31" i="9"/>
  <c r="AL34" i="9"/>
  <c r="AH34" i="9"/>
  <c r="AK55" i="9" l="1"/>
  <c r="AI55" i="9"/>
  <c r="AN55" i="9" s="1"/>
  <c r="AH55" i="9"/>
  <c r="AF55" i="9"/>
  <c r="AL55" i="9"/>
</calcChain>
</file>

<file path=xl/sharedStrings.xml><?xml version="1.0" encoding="utf-8"?>
<sst xmlns="http://schemas.openxmlformats.org/spreadsheetml/2006/main" count="359" uniqueCount="224">
  <si>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</si>
  <si>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</si>
  <si>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</si>
  <si>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</si>
  <si>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</si>
  <si>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</si>
  <si>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</si>
  <si>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</si>
  <si>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</si>
  <si>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</si>
  <si>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</si>
  <si>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</si>
  <si>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</si>
  <si>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JARNIGAN ROAD/EMJ CORP (CBL)</t>
  </si>
  <si>
    <t>2034 Hamilton Place Blvd</t>
  </si>
  <si>
    <t>PLASTIC OMNIUM AUTO EXTERIORS, LLC</t>
  </si>
  <si>
    <t>3241 Hickory Valley Rd</t>
  </si>
  <si>
    <t>PROVIDENT/UNUM PROVIDENT CORP.</t>
  </si>
  <si>
    <t>473 Walnut St</t>
  </si>
  <si>
    <t>Compress St, 3480 Amnicola, 625 Hulsey</t>
  </si>
  <si>
    <t>WESTINGHOUSE ELECTRIC CO</t>
  </si>
  <si>
    <t>401 River Terminal Rd</t>
  </si>
  <si>
    <t>WM WRIGLEY JR CO</t>
  </si>
  <si>
    <t>3002 Jersey Pike</t>
  </si>
  <si>
    <t>AMAZON.COM DEDC LLC PROJECT</t>
  </si>
  <si>
    <t>7200 Volkswagen Dr</t>
  </si>
  <si>
    <t>7380 Volkswagen Dr</t>
  </si>
  <si>
    <t>RIVERCITY CO - MAJESTIC 12 THEATER</t>
  </si>
  <si>
    <t>311 Broad St</t>
  </si>
  <si>
    <t>VOLKSWAGEN GROUP OF AMERICA INC</t>
  </si>
  <si>
    <t>8001 Volkswagen Dr &amp; Discovery Dr</t>
  </si>
  <si>
    <t>MK, LLC</t>
  </si>
  <si>
    <t>SOUTH MARKET LLC</t>
  </si>
  <si>
    <t>1280 Market St</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</si>
  <si>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</si>
  <si>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</si>
  <si>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</si>
  <si>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</si>
  <si>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</si>
  <si>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</si>
  <si>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</si>
  <si>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</si>
  <si>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</si>
  <si>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</si>
  <si>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</si>
  <si>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</si>
  <si>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</si>
  <si>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</si>
  <si>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</si>
  <si>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</si>
  <si>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</si>
  <si>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</si>
  <si>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</si>
  <si>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</si>
  <si>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</si>
  <si>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</si>
  <si>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</si>
  <si>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1210-12</t>
  </si>
  <si>
    <t>302-41A</t>
  </si>
  <si>
    <t>207-26</t>
  </si>
  <si>
    <t>706-17</t>
  </si>
  <si>
    <t>614-19</t>
  </si>
  <si>
    <t>309-37</t>
  </si>
  <si>
    <t>1008-27</t>
  </si>
  <si>
    <t>1214-8</t>
  </si>
  <si>
    <t>SOUTHERN CHAMPION TRAY 2014</t>
  </si>
  <si>
    <t>Resolution</t>
  </si>
  <si>
    <t>1212-20</t>
  </si>
  <si>
    <t>1212-21</t>
  </si>
  <si>
    <t>1108-43</t>
  </si>
  <si>
    <t>1010-8</t>
  </si>
  <si>
    <t>1006-36</t>
  </si>
  <si>
    <t>714-31</t>
  </si>
  <si>
    <t>State Map No.</t>
  </si>
  <si>
    <t>Per 040158</t>
  </si>
  <si>
    <t>139-074</t>
  </si>
  <si>
    <t>148M-G-005.01; Per 035391</t>
  </si>
  <si>
    <t>135M-E-001</t>
  </si>
  <si>
    <t>135NB-A-003</t>
  </si>
  <si>
    <t>145E-L-013.01 C001</t>
  </si>
  <si>
    <t>130-008.18, 24; Per 036767, Per 042026</t>
  </si>
  <si>
    <t>127K-A-001.18; Per 038818</t>
  </si>
  <si>
    <t>138I-A-002.01; Per 404153</t>
  </si>
  <si>
    <t>314-25</t>
  </si>
  <si>
    <t>Bill for Payments in Lieu of Taxes</t>
  </si>
  <si>
    <t>Total In Lieu of Taxes</t>
  </si>
  <si>
    <t>2006</t>
  </si>
  <si>
    <t>8002 Volkswagen Dr &amp; Discovery Dr</t>
  </si>
  <si>
    <t>Economic Dev. Fee</t>
  </si>
  <si>
    <t>Link to Resolution</t>
  </si>
  <si>
    <t>View</t>
  </si>
  <si>
    <t>10638 Apison Pike</t>
  </si>
  <si>
    <t>COCA-COLA BOTTLING COMPANY UNITED</t>
  </si>
  <si>
    <t>McKEE FOODS (City of Collegedale)</t>
  </si>
  <si>
    <t>914-31</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</si>
  <si>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</si>
  <si>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</si>
  <si>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</si>
  <si>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</si>
  <si>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</si>
  <si>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</si>
  <si>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</si>
  <si>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</si>
  <si>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</si>
  <si>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</si>
  <si>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</si>
  <si>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</si>
  <si>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</si>
  <si>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</si>
  <si>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VAN DE WIELE, INC</t>
  </si>
  <si>
    <t>710-4</t>
  </si>
  <si>
    <t>1109-52</t>
  </si>
  <si>
    <t>908-48</t>
  </si>
  <si>
    <t>308-51</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</si>
  <si>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</si>
  <si>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</si>
  <si>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</si>
  <si>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</si>
  <si>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</si>
  <si>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</si>
  <si>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</si>
  <si>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</si>
  <si>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</si>
  <si>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</si>
  <si>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</si>
  <si>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</si>
  <si>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</si>
  <si>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</si>
  <si>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</si>
  <si>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132-002.13; Per 048602</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</si>
  <si>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</si>
  <si>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</si>
  <si>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</si>
  <si>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</si>
  <si>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</si>
  <si>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</si>
  <si>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</si>
  <si>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</si>
  <si>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</si>
  <si>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</si>
  <si>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</si>
  <si>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AMAZON.COM - COLE ID CHATT US REAL ESTATE</t>
  </si>
  <si>
    <t>BLUE CROSS BLUE SHIELD OF TN INC</t>
  </si>
  <si>
    <t>1 &amp; 23 Cameron Hill Cir &amp; 505 E MLK Blvd</t>
  </si>
  <si>
    <t>135N-B-005, 005.01, 005.02; Per 031074</t>
  </si>
  <si>
    <t>305-34</t>
  </si>
  <si>
    <t>HOMESERVE USA CORP</t>
  </si>
  <si>
    <t>517-30</t>
  </si>
  <si>
    <t>TSO CHATTANOOGA DEVELOPMENT, LP</t>
  </si>
  <si>
    <t>700 Market Street</t>
  </si>
  <si>
    <t>815-19</t>
  </si>
  <si>
    <t>125 residental rental units plus retail and office space and parking structure, must reserve at least 20% of available units for lower income persons</t>
  </si>
  <si>
    <t>6093 Relocation Way</t>
  </si>
  <si>
    <t>Combined commitments for this project and Map 139-074</t>
  </si>
  <si>
    <t>Combined commitments for this project and Per 040158</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</si>
  <si>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</si>
  <si>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</si>
  <si>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</si>
  <si>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</si>
  <si>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</si>
  <si>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</si>
  <si>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</si>
  <si>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</si>
  <si>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</si>
  <si>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</si>
  <si>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</si>
  <si>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</si>
  <si>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</si>
  <si>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</si>
  <si>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</si>
  <si>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</si>
  <si>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</si>
  <si>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</si>
  <si>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</si>
  <si>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</si>
  <si>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</si>
  <si>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</si>
  <si>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</si>
  <si>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</si>
  <si>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</si>
  <si>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</si>
  <si>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</si>
  <si>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146D-A-001; 146D-A-009;  146D-D-003</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</si>
  <si>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</si>
  <si>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</si>
  <si>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</si>
  <si>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</si>
  <si>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</si>
  <si>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</si>
  <si>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</si>
  <si>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</si>
  <si>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Market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</si>
  <si>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</si>
  <si>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</si>
  <si>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</si>
  <si>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</si>
  <si>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</si>
  <si>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</si>
  <si>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</si>
  <si>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</si>
  <si>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</si>
  <si>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</si>
  <si>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139P-C-007; Per 10054783</t>
  </si>
  <si>
    <t>145L-B-006.01; Per 10031291</t>
  </si>
  <si>
    <t xml:space="preserve">2019 City </t>
  </si>
  <si>
    <t>2019 County</t>
  </si>
  <si>
    <t>2019 School</t>
  </si>
  <si>
    <t>145F-A-005; Per 10054385</t>
  </si>
  <si>
    <t>138I-A-002.01</t>
  </si>
  <si>
    <t>MA 1400 CHESTNUT LLC</t>
  </si>
  <si>
    <t>East Chattanooga Rising (Tubman)</t>
  </si>
  <si>
    <t>1219-27</t>
  </si>
  <si>
    <t>Proceeds from TIF toward infrastructure and road impr. - approx. $4 million plus interest</t>
  </si>
  <si>
    <t>320-25</t>
  </si>
  <si>
    <t>10261 McKee Drive and 10638 Apison Pike</t>
  </si>
  <si>
    <t>Expansion of facilities</t>
  </si>
  <si>
    <t>2020 City taxes billed</t>
  </si>
  <si>
    <t>2020 County taxes billed</t>
  </si>
  <si>
    <t>2020 School taxes billed</t>
  </si>
  <si>
    <t>151-036; Per 033050</t>
  </si>
  <si>
    <t>146O-C-001 L000;                154-009.09L000;                  Per 10053579; Per 10053580</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</si>
  <si>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2020.</t>
    </r>
  </si>
  <si>
    <t>SOUTHERN CHAMPION TRAY 2020</t>
  </si>
  <si>
    <t>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</si>
</sst>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 numFmtId="168" formatCode="0.00000%"/>
  </numFmts>
  <fonts count="20"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10"/>
      <name val="Arial"/>
      <family val="2"/>
    </font>
    <font>
      <u/>
      <sz val="10"/>
      <color rgb="FFFF0000"/>
      <name val="Arial"/>
      <family val="2"/>
    </font>
    <font>
      <u/>
      <sz val="10"/>
      <name val="Arial"/>
      <family val="2"/>
    </font>
    <font>
      <sz val="10"/>
      <name val="Arial"/>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10">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0" fontId="16" fillId="0" borderId="1"/>
    <xf numFmtId="0" fontId="16" fillId="0" borderId="1"/>
    <xf numFmtId="9" fontId="19" fillId="0" borderId="0" applyFont="0" applyFill="0" applyBorder="0" applyAlignment="0" applyProtection="0"/>
  </cellStyleXfs>
  <cellXfs count="432">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6"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8" applyFont="1" applyBorder="1" applyAlignment="1">
      <alignment horizontal="center" vertical="top"/>
    </xf>
    <xf numFmtId="0" fontId="5" fillId="0" borderId="1" xfId="8" applyFont="1" applyAlignment="1"/>
    <xf numFmtId="14" fontId="5" fillId="0" borderId="1" xfId="8" applyNumberFormat="1" applyFont="1" applyBorder="1" applyAlignment="1">
      <alignment horizontal="center" vertical="top"/>
    </xf>
    <xf numFmtId="41" fontId="5" fillId="0" borderId="1" xfId="8" applyNumberFormat="1" applyFont="1" applyFill="1" applyBorder="1" applyAlignment="1">
      <alignment horizontal="center" vertical="top"/>
    </xf>
    <xf numFmtId="0" fontId="5" fillId="0" borderId="1" xfId="8" applyFont="1" applyFill="1" applyBorder="1" applyAlignment="1">
      <alignment horizontal="center" vertical="top"/>
    </xf>
    <xf numFmtId="0" fontId="5" fillId="0" borderId="1" xfId="8" applyFont="1" applyFill="1" applyBorder="1" applyAlignment="1">
      <alignment horizontal="right" vertical="top" wrapText="1"/>
    </xf>
    <xf numFmtId="5" fontId="5" fillId="0" borderId="1" xfId="8" applyNumberFormat="1" applyFont="1" applyFill="1" applyBorder="1" applyAlignment="1">
      <alignment horizontal="center" vertical="top" wrapText="1"/>
    </xf>
    <xf numFmtId="164" fontId="13" fillId="0" borderId="1" xfId="8" applyNumberFormat="1" applyFont="1" applyFill="1" applyBorder="1" applyAlignment="1">
      <alignment horizontal="left" vertical="top" wrapText="1"/>
    </xf>
    <xf numFmtId="41" fontId="5" fillId="0" borderId="1" xfId="8" applyNumberFormat="1" applyFont="1" applyBorder="1" applyAlignment="1">
      <alignment horizontal="center" vertical="top"/>
    </xf>
    <xf numFmtId="41" fontId="5" fillId="7" borderId="1" xfId="8" applyNumberFormat="1" applyFont="1" applyFill="1" applyBorder="1" applyAlignment="1">
      <alignment horizontal="center" vertical="top"/>
    </xf>
    <xf numFmtId="41" fontId="4" fillId="9" borderId="1" xfId="8" applyNumberFormat="1" applyFont="1" applyFill="1" applyBorder="1" applyAlignment="1">
      <alignment horizontal="center" vertical="top"/>
    </xf>
    <xf numFmtId="41" fontId="5" fillId="9" borderId="1" xfId="8"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8" applyFont="1" applyFill="1" applyBorder="1" applyAlignment="1">
      <alignment vertical="top" wrapText="1"/>
    </xf>
    <xf numFmtId="0" fontId="5" fillId="0" borderId="1" xfId="8" applyFont="1" applyFill="1" applyBorder="1" applyAlignment="1">
      <alignment vertical="top"/>
    </xf>
    <xf numFmtId="0" fontId="5" fillId="0" borderId="1" xfId="8"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9"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3" fillId="0" borderId="1" xfId="0" applyNumberFormat="1" applyFont="1" applyFill="1" applyBorder="1" applyAlignment="1">
      <alignment horizontal="center" wrapText="1"/>
    </xf>
    <xf numFmtId="14" fontId="10" fillId="0" borderId="5" xfId="2" applyNumberFormat="1" applyFill="1" applyBorder="1" applyAlignment="1">
      <alignment horizontal="center" vertical="top"/>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5" xfId="0" applyNumberFormat="1" applyFont="1" applyFill="1" applyBorder="1" applyAlignment="1">
      <alignment horizontal="center" vertical="top"/>
    </xf>
    <xf numFmtId="14" fontId="12" fillId="0" borderId="1" xfId="4" applyNumberFormat="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vertical="top" wrapText="1"/>
    </xf>
    <xf numFmtId="41" fontId="5" fillId="0" borderId="1" xfId="0" applyNumberFormat="1"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Fill="1" applyBorder="1" applyAlignment="1">
      <alignment vertical="top" wrapText="1"/>
    </xf>
    <xf numFmtId="168" fontId="6" fillId="0" borderId="6" xfId="9" applyNumberFormat="1" applyFont="1" applyFill="1" applyBorder="1" applyAlignment="1">
      <alignment horizontal="center" vertical="top" wrapText="1"/>
    </xf>
    <xf numFmtId="41" fontId="5" fillId="12"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0" fontId="5" fillId="0" borderId="6" xfId="0" applyFont="1" applyFill="1" applyBorder="1" applyAlignment="1">
      <alignment vertical="top" wrapText="1"/>
    </xf>
    <xf numFmtId="41" fontId="5" fillId="0" borderId="5"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9" borderId="5" xfId="0" quotePrefix="1" applyNumberFormat="1" applyFont="1" applyFill="1" applyBorder="1" applyAlignment="1">
      <alignment vertical="top"/>
    </xf>
    <xf numFmtId="41" fontId="5" fillId="9" borderId="5" xfId="0" applyNumberFormat="1" applyFont="1" applyFill="1" applyBorder="1" applyAlignment="1">
      <alignment vertical="top"/>
    </xf>
    <xf numFmtId="0" fontId="5" fillId="0" borderId="5" xfId="0" applyFont="1" applyFill="1" applyBorder="1" applyAlignment="1">
      <alignment horizontal="center" vertical="top"/>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7" borderId="6" xfId="0" applyNumberFormat="1" applyFont="1" applyFill="1" applyBorder="1" applyAlignment="1">
      <alignment vertical="top"/>
    </xf>
    <xf numFmtId="0" fontId="5" fillId="0" borderId="5" xfId="0" applyFont="1" applyBorder="1" applyAlignment="1">
      <alignment vertical="top"/>
    </xf>
    <xf numFmtId="0" fontId="5" fillId="11" borderId="5" xfId="0" applyFont="1" applyFill="1" applyBorder="1" applyAlignment="1">
      <alignment horizontal="left" vertical="top" wrapText="1"/>
    </xf>
    <xf numFmtId="0" fontId="5" fillId="11" borderId="6" xfId="0" applyFont="1" applyFill="1" applyBorder="1" applyAlignment="1">
      <alignment horizontal="center" vertical="top"/>
    </xf>
    <xf numFmtId="0" fontId="5" fillId="11" borderId="5" xfId="0" applyFont="1" applyFill="1" applyBorder="1" applyAlignment="1">
      <alignment horizontal="center" vertical="top" wrapText="1"/>
    </xf>
    <xf numFmtId="14" fontId="12" fillId="0" borderId="6" xfId="4" applyNumberFormat="1" applyBorder="1" applyAlignment="1">
      <alignment horizontal="center" vertical="top"/>
    </xf>
    <xf numFmtId="41" fontId="5" fillId="9"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165" fontId="0" fillId="0" borderId="0" xfId="0" applyNumberFormat="1" applyFill="1"/>
    <xf numFmtId="41" fontId="4" fillId="6" borderId="1"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5" fillId="7" borderId="1" xfId="0" applyNumberFormat="1" applyFont="1" applyFill="1" applyBorder="1" applyAlignment="1">
      <alignment vertical="top"/>
    </xf>
    <xf numFmtId="41" fontId="5" fillId="7" borderId="5" xfId="0" applyNumberFormat="1" applyFont="1" applyFill="1" applyBorder="1" applyAlignment="1">
      <alignment vertical="top"/>
    </xf>
    <xf numFmtId="41" fontId="4" fillId="6" borderId="6" xfId="0" applyNumberFormat="1" applyFont="1" applyFill="1" applyBorder="1" applyAlignment="1">
      <alignment horizontal="center"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5"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41" fontId="5" fillId="3" borderId="5"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0" fontId="5" fillId="0" borderId="1" xfId="0" applyFont="1" applyBorder="1" applyAlignment="1">
      <alignment vertical="top"/>
    </xf>
    <xf numFmtId="0" fontId="5" fillId="0" borderId="5" xfId="0" applyFont="1" applyBorder="1" applyAlignment="1">
      <alignment vertical="top"/>
    </xf>
    <xf numFmtId="5" fontId="5" fillId="0" borderId="1"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6" xfId="0" applyFont="1" applyBorder="1" applyAlignment="1">
      <alignment horizontal="right" vertical="top"/>
    </xf>
    <xf numFmtId="0" fontId="5" fillId="0" borderId="7" xfId="0" applyFont="1" applyBorder="1" applyAlignment="1">
      <alignment horizontal="right" vertical="top"/>
    </xf>
    <xf numFmtId="5" fontId="5" fillId="0" borderId="6" xfId="0" applyNumberFormat="1" applyFont="1" applyFill="1" applyBorder="1" applyAlignment="1">
      <alignment horizontal="center" vertical="top" wrapText="1"/>
    </xf>
    <xf numFmtId="5" fontId="5" fillId="0" borderId="7"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7"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3" borderId="7"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41" fontId="4" fillId="6" borderId="7" xfId="0" applyNumberFormat="1" applyFont="1" applyFill="1" applyBorder="1" applyAlignment="1">
      <alignment horizontal="center" vertical="top"/>
    </xf>
    <xf numFmtId="0" fontId="5" fillId="0" borderId="7" xfId="0" applyFont="1" applyBorder="1" applyAlignment="1">
      <alignment horizontal="center" vertical="top"/>
    </xf>
    <xf numFmtId="14" fontId="5" fillId="0" borderId="7" xfId="0" applyNumberFormat="1" applyFont="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41" fontId="5" fillId="3" borderId="1" xfId="0" applyNumberFormat="1" applyFont="1" applyFill="1" applyBorder="1" applyAlignment="1">
      <alignment horizontal="center" vertical="top"/>
    </xf>
    <xf numFmtId="41" fontId="5" fillId="9"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164" fontId="5" fillId="0" borderId="1" xfId="0" applyNumberFormat="1" applyFont="1" applyFill="1" applyBorder="1" applyAlignment="1">
      <alignment horizontal="left" vertical="top" wrapText="1"/>
    </xf>
    <xf numFmtId="164" fontId="5" fillId="0" borderId="5" xfId="0" applyNumberFormat="1" applyFont="1" applyFill="1" applyBorder="1" applyAlignment="1">
      <alignment horizontal="left" vertical="top" wrapText="1"/>
    </xf>
    <xf numFmtId="14" fontId="12" fillId="0" borderId="6" xfId="4" applyNumberFormat="1" applyBorder="1" applyAlignment="1">
      <alignment horizontal="center" vertical="top"/>
    </xf>
    <xf numFmtId="167" fontId="5" fillId="7" borderId="6" xfId="0" applyNumberFormat="1" applyFont="1" applyFill="1" applyBorder="1" applyAlignment="1">
      <alignment horizontal="center" vertical="top"/>
    </xf>
    <xf numFmtId="41" fontId="0" fillId="0" borderId="0" xfId="0" applyNumberFormat="1" applyFill="1" applyAlignment="1">
      <alignment vertical="center" wrapText="1"/>
    </xf>
    <xf numFmtId="41" fontId="4" fillId="6" borderId="6" xfId="0" applyNumberFormat="1" applyFont="1" applyFill="1" applyBorder="1" applyAlignment="1">
      <alignment vertical="top"/>
    </xf>
  </cellXfs>
  <cellStyles count="10">
    <cellStyle name="Comma" xfId="5" builtinId="3"/>
    <cellStyle name="Currency" xfId="6" builtinId="4"/>
    <cellStyle name="Hyperlink" xfId="4" builtinId="8"/>
    <cellStyle name="Hyperlink 2" xfId="2"/>
    <cellStyle name="Hyperlink 3" xfId="1"/>
    <cellStyle name="Normal" xfId="0" builtinId="0"/>
    <cellStyle name="Normal 2" xfId="3"/>
    <cellStyle name="Normal 3" xfId="7"/>
    <cellStyle name="Normal 4" xfId="8"/>
    <cellStyle name="Percent" xfId="9"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ttanooga.gov/city-council-files/OrdinancesAndResolutions/Resolutions/Resolutions%202002/23253%20Downtown%20Housing%20Initiative%20.doc" TargetMode="External"/><Relationship Id="rId18" Type="http://schemas.openxmlformats.org/officeDocument/2006/relationships/hyperlink" Target="http://www.hamiltontn.gov/pdf/PILOT/CollegedaleResolution293.pdf" TargetMode="External"/><Relationship Id="rId26" Type="http://schemas.openxmlformats.org/officeDocument/2006/relationships/hyperlink" Target="http://resolutions.hamiltontn.gov/resolutions/2008/1008-27.pdf" TargetMode="External"/><Relationship Id="rId39" Type="http://schemas.openxmlformats.org/officeDocument/2006/relationships/hyperlink" Target="http://www.chattanooga.gov/city-council-files/OrdinancesAndResolutions/Resolutions/Resolutions%202015/28302%20PILOT%20NEW%20Gestamp%20North%20America.pdf" TargetMode="External"/><Relationship Id="rId21" Type="http://schemas.openxmlformats.org/officeDocument/2006/relationships/hyperlink" Target="http://resolutions.hamiltontn.gov/resolutions/2014/314-25.pdf" TargetMode="External"/><Relationship Id="rId34" Type="http://schemas.openxmlformats.org/officeDocument/2006/relationships/hyperlink" Target="http://resolutions.hamiltontn.gov/resolutions/2012/1212-21.pdf" TargetMode="External"/><Relationship Id="rId42" Type="http://schemas.openxmlformats.org/officeDocument/2006/relationships/hyperlink" Target="http://resolutions.hamiltontn.gov/resolutions/2015/715-17.pdf" TargetMode="External"/><Relationship Id="rId47" Type="http://schemas.openxmlformats.org/officeDocument/2006/relationships/hyperlink" Target="http://resolutions.hamiltontn.gov/resolutions/2010/710-4.pdf" TargetMode="External"/><Relationship Id="rId50" Type="http://schemas.openxmlformats.org/officeDocument/2006/relationships/hyperlink" Target="http://resolutions.hamiltontn.gov/resolutions/2015/1015-20.pdf" TargetMode="External"/><Relationship Id="rId55" Type="http://schemas.openxmlformats.org/officeDocument/2006/relationships/hyperlink" Target="http://resolutions.hamiltontn.gov/resolutions/2016/1116-3.pdf" TargetMode="External"/><Relationship Id="rId63" Type="http://schemas.openxmlformats.org/officeDocument/2006/relationships/hyperlink" Target="http://www.chattanooga.gov/city-council-files/OrdinancesAndResolutions/Resolutions/Resolutions%202016/28852%20PILOT%20Resolution%20Standard%20Coosa%20Lofts.pdf" TargetMode="External"/><Relationship Id="rId68" Type="http://schemas.openxmlformats.org/officeDocument/2006/relationships/hyperlink" Target="http://resolutions.hamiltontn.gov/resolutions/2015/215-37.pdf" TargetMode="External"/><Relationship Id="rId76" Type="http://schemas.openxmlformats.org/officeDocument/2006/relationships/hyperlink" Target="http://resolutions.hamiltontn.gov/resolutions/2017/1217-30.pdf" TargetMode="External"/><Relationship Id="rId84" Type="http://schemas.openxmlformats.org/officeDocument/2006/relationships/hyperlink" Target="http://resolutions.hamiltontn.gov/resolutions/2019/319-14.pdf" TargetMode="External"/><Relationship Id="rId89" Type="http://schemas.openxmlformats.org/officeDocument/2006/relationships/hyperlink" Target="http://resolutions.hamiltontn.gov/resolutions/2020/820-26.pdf" TargetMode="External"/><Relationship Id="rId7" Type="http://schemas.openxmlformats.org/officeDocument/2006/relationships/hyperlink" Target="http://www.chattanooga.gov/city-council-files/OrdinancesAndResolutions/Resolutions/Resolutions%202008/25682%20Auth%20PILOT%20Agmt%20-%20RiverCity%20Company%20-%20Movie%20Theater.pdf" TargetMode="External"/><Relationship Id="rId71" Type="http://schemas.openxmlformats.org/officeDocument/2006/relationships/hyperlink" Target="http://resolutions.hamiltontn.gov/resolutions/2015/815-19.pdf" TargetMode="External"/><Relationship Id="rId92" Type="http://schemas.openxmlformats.org/officeDocument/2006/relationships/printerSettings" Target="../printerSettings/printerSettings1.bin"/><Relationship Id="rId2"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6" Type="http://schemas.openxmlformats.org/officeDocument/2006/relationships/hyperlink" Target="http://www.chattanooga.gov/city-council-files/OrdinancesAndResolutions/Resolutions/Resolutions%202012/27336_PILOT_UTC_Two.pdf" TargetMode="External"/><Relationship Id="rId29" Type="http://schemas.openxmlformats.org/officeDocument/2006/relationships/hyperlink" Target="http://resolutions.hamiltontn.gov/resolutions/2014/714-31.pdf" TargetMode="External"/><Relationship Id="rId11" Type="http://schemas.openxmlformats.org/officeDocument/2006/relationships/hyperlink" Target="http://www.chattanooga.gov/city-council-files/OrdinancesAndResolutions/Resolutions/Resolutions%202006/24923%20Auth%20Wrigley%20PILOT%20Agmt%20-%20County%20IDB.DOC" TargetMode="External"/><Relationship Id="rId24" Type="http://schemas.openxmlformats.org/officeDocument/2006/relationships/hyperlink" Target="http://resolutions.hamiltontn.gov/resolutions/2014/614-19.pdf" TargetMode="External"/><Relationship Id="rId32" Type="http://schemas.openxmlformats.org/officeDocument/2006/relationships/hyperlink" Target="http://resolutions.hamiltontn.gov/resolutions/2002/302-41A.pdf" TargetMode="External"/><Relationship Id="rId37" Type="http://schemas.openxmlformats.org/officeDocument/2006/relationships/hyperlink" Target="http://resolutions.hamiltontn.gov/resolutions/2015/515-28.pdf" TargetMode="External"/><Relationship Id="rId40" Type="http://schemas.openxmlformats.org/officeDocument/2006/relationships/hyperlink" Target="http://resolutions.hamiltontn.gov/resolutions/2015/715-15.pdf" TargetMode="External"/><Relationship Id="rId45" Type="http://schemas.openxmlformats.org/officeDocument/2006/relationships/hyperlink" Target="http://www.chattanooga.gov/city-council-files/OrdinancesAndResolutions/Resolutions/Resolutions%202014/28002%20Van%20De%20Wiele%20project%20payment%20in%20lieu%20of%20taxes.pdf" TargetMode="External"/><Relationship Id="rId53" Type="http://schemas.openxmlformats.org/officeDocument/2006/relationships/hyperlink" Target="http://resolutions.hamiltontn.gov/resolutions/2016/116-27.pdf" TargetMode="External"/><Relationship Id="rId58" Type="http://schemas.openxmlformats.org/officeDocument/2006/relationships/hyperlink" Target="http://resolutions.hamiltontn.gov/resolutions/2010/1210-12.pdf" TargetMode="External"/><Relationship Id="rId66" Type="http://schemas.openxmlformats.org/officeDocument/2006/relationships/hyperlink" Target="http://www.chattanooga.gov/city-council-files/OrdinancesAndResolutions/Resolutions/Resolutions%202017/29035%20PILOT%20HomeServ.pdf" TargetMode="External"/><Relationship Id="rId74" Type="http://schemas.openxmlformats.org/officeDocument/2006/relationships/hyperlink" Target="http://chattanooga.gov/city-council-files/OrdinancesAndResolutions/Resolutions/Resolutions%202018/29336%20Economic%20Impact%20Plan%20ML%20King%20v2.pdf" TargetMode="External"/><Relationship Id="rId79" Type="http://schemas.openxmlformats.org/officeDocument/2006/relationships/hyperlink" Target="http://www.chattanooga.gov/city-council-files/OrdinancesAndResolutions/Resolutions/Resolutions%202018/29634%20PILOT%20-%20Ridgeway%20Apartments.pdf" TargetMode="External"/><Relationship Id="rId87" Type="http://schemas.openxmlformats.org/officeDocument/2006/relationships/hyperlink" Target="http://resolutions.hamiltontn.gov/resolutions/2019/1219-27.pdf" TargetMode="External"/><Relationship Id="rId5" Type="http://schemas.openxmlformats.org/officeDocument/2006/relationships/hyperlink" Target="http://www.chattanooga.gov/city-council-files/OrdinancesAndResolutions/Resolutions/Resolutions%202014/27892%20PILOT%20Plastic%20Omnium.pdf" TargetMode="External"/><Relationship Id="rId61" Type="http://schemas.openxmlformats.org/officeDocument/2006/relationships/hyperlink" Target="http://resolutions.hamiltontn.gov/resolutions/2016/1216-8.pdf" TargetMode="External"/><Relationship Id="rId82" Type="http://schemas.openxmlformats.org/officeDocument/2006/relationships/hyperlink" Target="http://www.chattanooga.gov/city-council-files/OrdinancesAndResolutions/Resolutions/Resolutions%202018/29744%20PILOT%20Patten%20Towers.pdf" TargetMode="External"/><Relationship Id="rId90" Type="http://schemas.openxmlformats.org/officeDocument/2006/relationships/hyperlink" Target="http://www.hamiltontn.gov/PDF/docs/SKM_C36820120312030.pdf" TargetMode="External"/><Relationship Id="rId19" Type="http://schemas.openxmlformats.org/officeDocument/2006/relationships/hyperlink" Target="http://resolutions.hamiltontn.gov/resolutions/2006/706-17.pdf" TargetMode="External"/><Relationship Id="rId14" Type="http://schemas.openxmlformats.org/officeDocument/2006/relationships/hyperlink" Target="http://www.chattanooga.gov/city-council-files/OrdinancesAndResolutions/Resolutions/Resolutions%202002/23253%20Downtown%20Housing%20Initiative%20.doc" TargetMode="External"/><Relationship Id="rId22" Type="http://schemas.openxmlformats.org/officeDocument/2006/relationships/hyperlink" Target="http://resolutions.hamiltontn.gov/resolutions/2010/1210-12.pdf" TargetMode="External"/><Relationship Id="rId27" Type="http://schemas.openxmlformats.org/officeDocument/2006/relationships/hyperlink" Target="http://resolutions.hamiltontn.gov/resolutions/2014/1214-8.pdf" TargetMode="External"/><Relationship Id="rId30" Type="http://schemas.openxmlformats.org/officeDocument/2006/relationships/hyperlink" Target="http://resolutions.hamiltontn.gov/resolutions/2006/1006-36.pdf" TargetMode="External"/><Relationship Id="rId35" Type="http://schemas.openxmlformats.org/officeDocument/2006/relationships/hyperlink" Target="http://resolutions.hamiltontn.gov/resolutions/2012/1212-20.pdf" TargetMode="External"/><Relationship Id="rId43" Type="http://schemas.openxmlformats.org/officeDocument/2006/relationships/hyperlink" Target="http://resolutions.hamiltontn.gov/resolutions/2014/914-31.pdf" TargetMode="External"/><Relationship Id="rId48" Type="http://schemas.openxmlformats.org/officeDocument/2006/relationships/hyperlink" Target="http://resolutions.hamiltontn.gov/resolutions/2008/908-48.pdf" TargetMode="External"/><Relationship Id="rId56" Type="http://schemas.openxmlformats.org/officeDocument/2006/relationships/hyperlink" Target="http://resolutions.hamiltontn.gov/resolutions/2008/308-51.pdf" TargetMode="External"/><Relationship Id="rId64" Type="http://schemas.openxmlformats.org/officeDocument/2006/relationships/hyperlink" Target="http://www.chattanooga.gov/city-council-files/OrdinancesAndResolutions/Resolutions/Resolutions%202005/24361%20Authorize%20BlueCross%20BlueShield%20PILOT%20Agreement.pdf" TargetMode="External"/><Relationship Id="rId69" Type="http://schemas.openxmlformats.org/officeDocument/2006/relationships/hyperlink" Target="http://www.chattanooga.gov/city-council-files/OrdinancesAndResolutions/Resolutions/Resolutions%202015/28139%20PILOT%20UTC%20Five.pdf" TargetMode="External"/><Relationship Id="rId77" Type="http://schemas.openxmlformats.org/officeDocument/2006/relationships/hyperlink" Target="http://www.chattanooga.gov/city-council-files/OrdinancesAndResolutions/Resolutions/Resolutions%202017/29215%20PILOT%20Bayberry%20Apts%20v3.pdf" TargetMode="External"/><Relationship Id="rId8" Type="http://schemas.openxmlformats.org/officeDocument/2006/relationships/hyperlink" Target="http://www.chattanooga.gov/city-council-files/OrdinancesAndResolutions/Resolutions/Resolutions%202014/28072%20PILOT%20Southern%20Champion.pdf" TargetMode="External"/><Relationship Id="rId51" Type="http://schemas.openxmlformats.org/officeDocument/2006/relationships/hyperlink" Target="http://resolutions.hamiltontn.gov/resolutions/2015/1015-54.pdf" TargetMode="External"/><Relationship Id="rId72" Type="http://schemas.openxmlformats.org/officeDocument/2006/relationships/hyperlink" Target="http://resolutions.hamiltontn.gov/resolutions/2012/612-27.pdf" TargetMode="External"/><Relationship Id="rId80" Type="http://schemas.openxmlformats.org/officeDocument/2006/relationships/hyperlink" Target="http://www.chattanooga.gov/city-council-files/OrdinancesAndResolutions/Resolutions/Resolutions%202017/29248%20PILOT%20-%20M_M%20Industries.pdf" TargetMode="External"/><Relationship Id="rId85" Type="http://schemas.openxmlformats.org/officeDocument/2006/relationships/hyperlink" Target="http://www.chattanooga.gov/city-council-files/OrdinancesAndResolutions/Resolutions/Resolutions%202019/29847%20Amend%20PILOT%20for%20Gestamp%20$48%20million.pdf" TargetMode="External"/><Relationship Id="rId3"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12" Type="http://schemas.openxmlformats.org/officeDocument/2006/relationships/hyperlink" Target="http://www.chattanooga.gov/city-council-files/OrdinancesAndResolutions/Resolutions/Resolutions%202010/26441%20Make%20certain%20findings%20relating%20to%20Wm%20Wrigley%20Jr.%20Co.%20Project.pdf" TargetMode="External"/><Relationship Id="rId17" Type="http://schemas.openxmlformats.org/officeDocument/2006/relationships/hyperlink" Target="http://www.chattanooga.gov/city-council-files/OrdinancesAndResolutions/Resolutions/Resolutions%202002/23253%20Downtown%20Housing%20Initiative%20.doc" TargetMode="External"/><Relationship Id="rId25" Type="http://schemas.openxmlformats.org/officeDocument/2006/relationships/hyperlink" Target="http://resolutions.hamiltontn.gov/resolutions/2009/309-37.pdf" TargetMode="External"/><Relationship Id="rId33" Type="http://schemas.openxmlformats.org/officeDocument/2006/relationships/hyperlink" Target="http://resolutions.hamiltontn.gov/resolutions/2002/302-41A.pdf" TargetMode="External"/><Relationship Id="rId38" Type="http://schemas.openxmlformats.org/officeDocument/2006/relationships/hyperlink" Target="http://www.chattanooga.gov/city-council-files/OrdinancesAndResolutions/Resolutions/Resolutions%202015/28301%20PILOT%20Expansion%20Gestamp.pdf" TargetMode="External"/><Relationship Id="rId46" Type="http://schemas.openxmlformats.org/officeDocument/2006/relationships/hyperlink" Target="http://resolutions.hamiltontn.gov/resolutions/2009/1109-52.pdf" TargetMode="External"/><Relationship Id="rId59"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67" Type="http://schemas.openxmlformats.org/officeDocument/2006/relationships/hyperlink" Target="http://resolutions.hamiltontn.gov/resolutions/2017/517-30.pdf" TargetMode="External"/><Relationship Id="rId20" Type="http://schemas.openxmlformats.org/officeDocument/2006/relationships/hyperlink" Target="http://resolutions.hamiltontn.gov/resolutions/2002/302-41A.pdf" TargetMode="External"/><Relationship Id="rId41" Type="http://schemas.openxmlformats.org/officeDocument/2006/relationships/hyperlink" Target="http://resolutions.hamiltontn.gov/resolutions/2015/715-16.pdf" TargetMode="External"/><Relationship Id="rId54" Type="http://schemas.openxmlformats.org/officeDocument/2006/relationships/hyperlink" Target="http://www.chattanooga.gov/city-council-files/OrdinancesAndResolutions/Resolutions/Resolutions%202016/28815%20PILOT-ECG%20Chestnut%20LP.pdf" TargetMode="External"/><Relationship Id="rId62" Type="http://schemas.openxmlformats.org/officeDocument/2006/relationships/hyperlink" Target="http://www.chattanooga.gov/city-council-files/OrdinancesAndResolutions/Resolutions/Resolutions%202016/28835%20PILOT%20Resolution%20Jaycee%20Tower%20City.pdf" TargetMode="External"/><Relationship Id="rId70" Type="http://schemas.openxmlformats.org/officeDocument/2006/relationships/hyperlink" Target="http://www.chattanooga.gov/city-council-files/OrdinancesAndResolutions/Resolutions/Resolutions%202015/28336%20PILOT%20Simpson%20Organization.pdf" TargetMode="External"/><Relationship Id="rId75" Type="http://schemas.openxmlformats.org/officeDocument/2006/relationships/hyperlink" Target="http://www.chattanooga.gov/city-council-files/OrdinancesAndResolutions/Resolutions/Resolutions%202012/27143%20App%20Economic%20Impact%20Plan%20for%20Black%20Creek%20Mountain.pdf" TargetMode="External"/><Relationship Id="rId83" Type="http://schemas.openxmlformats.org/officeDocument/2006/relationships/hyperlink" Target="http://resolutions.hamiltontn.gov/resolutions/2019/119-16.pdf" TargetMode="External"/><Relationship Id="rId88" Type="http://schemas.openxmlformats.org/officeDocument/2006/relationships/hyperlink" Target="http://resolutions.hamiltontn.gov/resolutions/2020/320-25.pdf" TargetMode="External"/><Relationship Id="rId91" Type="http://schemas.openxmlformats.org/officeDocument/2006/relationships/hyperlink" Target="http://www.hamiltontn.gov/PDF/docs/SKM_C36820120312130.pdf" TargetMode="External"/><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09/25843%20Auth%20PILOT%20Agmt%20-%20Provident.pdf" TargetMode="External"/><Relationship Id="rId15" Type="http://schemas.openxmlformats.org/officeDocument/2006/relationships/hyperlink" Target="http://www.chattanooga.gov/city-council-files/OrdinancesAndResolutions/Resolutions/Resolutions%202012/27337_PILOT_UTC_Three.pdf" TargetMode="External"/><Relationship Id="rId23" Type="http://schemas.openxmlformats.org/officeDocument/2006/relationships/hyperlink" Target="http://resolutions.hamiltontn.gov/resolutions/2007/207-26.pdf" TargetMode="External"/><Relationship Id="rId28" Type="http://schemas.openxmlformats.org/officeDocument/2006/relationships/hyperlink" Target="http://resolutions.hamiltontn.gov/resolutions/2008/1108-43.pdf" TargetMode="External"/><Relationship Id="rId36" Type="http://schemas.openxmlformats.org/officeDocument/2006/relationships/hyperlink" Target="http://www.chattanooga.gov/city-council-files/OrdinancesAndResolutions/Resolutions/Resolutions%202015/28233%20PILOT%20Heritage-Maclellan.pdf" TargetMode="External"/><Relationship Id="rId49" Type="http://schemas.openxmlformats.org/officeDocument/2006/relationships/hyperlink" Target="http://www.chattanooga.gov/city-council-files/OrdinancesAndResolutions/Resolutions/Resolutions%202015/28424%20PILOT%20Gestamp.pdf" TargetMode="External"/><Relationship Id="rId57" Type="http://schemas.openxmlformats.org/officeDocument/2006/relationships/hyperlink" Target="http://www.chattanooga.gov/city-council-files/OrdinancesAndResolutions/Resolutions/Resolutions%202008/25672%20Auth%20PILOT%20Agmt%20-%20%20Westinghouse%20Electric%20Sept%202008.pdf" TargetMode="External"/><Relationship Id="rId10" Type="http://schemas.openxmlformats.org/officeDocument/2006/relationships/hyperlink" Target="http://www.chattanooga.gov/city-council-files/OrdinancesAndResolutions/Resolutions/Resolutions%202014/27960%20Aut%20MOU%20for%20VW%20CrossBlue%20Project.pdf" TargetMode="External"/><Relationship Id="rId31" Type="http://schemas.openxmlformats.org/officeDocument/2006/relationships/hyperlink" Target="http://resolutions.hamiltontn.gov/resolutions/2010/1010-8.pdf" TargetMode="External"/><Relationship Id="rId44" Type="http://schemas.openxmlformats.org/officeDocument/2006/relationships/hyperlink" Target="http://www.chattanooga.gov/city-council-files/OrdinancesAndResolutions/Resolutions/Resolutions%202015/28256%20PILOT%20The%20KORE%20Company.pdf" TargetMode="External"/><Relationship Id="rId52" Type="http://schemas.openxmlformats.org/officeDocument/2006/relationships/hyperlink" Target="http://www.chattanooga.gov/city-council-files/OrdinancesAndResolutions/Resolutions/Resolutions%202016/28501%20PILOT%20Yanfeng.pdf" TargetMode="External"/><Relationship Id="rId60" Type="http://schemas.openxmlformats.org/officeDocument/2006/relationships/hyperlink" Target="http://resolutions.hamiltontn.gov/resolutions/2016/1216-31.pdf" TargetMode="External"/><Relationship Id="rId65" Type="http://schemas.openxmlformats.org/officeDocument/2006/relationships/hyperlink" Target="http://resolutions.hamiltontn.gov/resolutions/2005/305-34.pdf" TargetMode="External"/><Relationship Id="rId73" Type="http://schemas.openxmlformats.org/officeDocument/2006/relationships/hyperlink" Target="http://resolutions.hamiltontn.gov/resolutions/2018/318-14.pdf" TargetMode="External"/><Relationship Id="rId78" Type="http://schemas.openxmlformats.org/officeDocument/2006/relationships/hyperlink" Target="http://resolutions.hamiltontn.gov/resolutions/2018/1018-4.pdf" TargetMode="External"/><Relationship Id="rId81" Type="http://schemas.openxmlformats.org/officeDocument/2006/relationships/hyperlink" Target="http://resolutions.hamiltontn.gov/resolutions/2017/1117-27.pdf" TargetMode="External"/><Relationship Id="rId86" Type="http://schemas.openxmlformats.org/officeDocument/2006/relationships/hyperlink" Target="http://www.chattanooga.gov/city-council-files/OrdinancesAndResolutions/Resolutions/Resolutions%202019/30103%20TIF%20East%20Chattanooga%20-%20Tubman%20Site.pdf" TargetMode="External"/><Relationship Id="rId4" Type="http://schemas.openxmlformats.org/officeDocument/2006/relationships/hyperlink" Target="http://www.chattanooga.gov/city-council-files/OrdinancesAndResolutions/Resolutions/Resolutions%202007/25042%20Auth%20Jarnigan%20Road%20III,%20LLC-EMJ%20Corp-CBL%20Assocs%20Mgmt,%20Inc-PILOT.DOC" TargetMode="External"/><Relationship Id="rId9" Type="http://schemas.openxmlformats.org/officeDocument/2006/relationships/hyperlink" Target="http://www.chattanooga.gov/city-council-files/OrdinancesAndResolutions/Resolutions/Resolutions%202008/25738%20Auth%20PILOT%20Agmt%20-%20Volkswag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R120"/>
  <sheetViews>
    <sheetView tabSelected="1" zoomScaleNormal="100" workbookViewId="0">
      <pane xSplit="5" ySplit="3" topLeftCell="F4" activePane="bottomRight" state="frozen"/>
      <selection activeCell="A2" sqref="A2"/>
      <selection pane="topRight" activeCell="F2" sqref="F2"/>
      <selection pane="bottomLeft" activeCell="A4" sqref="A4"/>
      <selection pane="bottomRight" activeCell="AO4" sqref="AO4"/>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39" width="17.28515625" style="22"/>
    <col min="40" max="40" width="0" style="22" hidden="1" customWidth="1"/>
    <col min="41" max="16384" width="17.28515625" style="22"/>
  </cols>
  <sheetData>
    <row r="1" spans="1:40" customFormat="1" ht="12.75" x14ac:dyDescent="0.2">
      <c r="A1" s="22"/>
      <c r="E1" s="15"/>
      <c r="I1" s="4"/>
      <c r="M1" s="4"/>
      <c r="N1" s="22"/>
      <c r="O1" s="22"/>
      <c r="Q1" s="32"/>
      <c r="R1" s="27"/>
      <c r="S1" s="1"/>
      <c r="T1" s="1"/>
      <c r="U1" s="34"/>
      <c r="V1" s="4"/>
      <c r="W1" s="2">
        <v>2.2770000000000001</v>
      </c>
      <c r="X1" s="2">
        <f>1.505+0.0099</f>
        <v>1.5148999999999999</v>
      </c>
      <c r="Y1" s="2">
        <v>1.2503</v>
      </c>
      <c r="Z1" s="2"/>
      <c r="AA1" s="4"/>
      <c r="AB1" s="3"/>
      <c r="AC1" s="3"/>
      <c r="AD1" s="3"/>
      <c r="AE1" s="3"/>
      <c r="AF1" s="3"/>
      <c r="AG1" s="4"/>
      <c r="AH1" s="1"/>
      <c r="AI1" s="1"/>
      <c r="AJ1" s="1"/>
      <c r="AK1" s="1"/>
      <c r="AL1" s="1"/>
    </row>
    <row r="2" spans="1:40" customFormat="1" ht="15" customHeight="1" thickBot="1" x14ac:dyDescent="0.25">
      <c r="A2" s="22"/>
      <c r="E2" s="15"/>
      <c r="F2" s="391" t="s">
        <v>52</v>
      </c>
      <c r="G2" s="391"/>
      <c r="H2" s="391"/>
      <c r="I2" s="36"/>
      <c r="J2" s="391" t="s">
        <v>53</v>
      </c>
      <c r="K2" s="391"/>
      <c r="L2" s="391"/>
      <c r="M2" s="36"/>
      <c r="N2" s="22"/>
      <c r="O2" s="22"/>
      <c r="Q2" s="32"/>
      <c r="R2" s="27"/>
      <c r="S2" s="1"/>
      <c r="T2" s="1"/>
      <c r="U2" s="34"/>
      <c r="V2" s="5"/>
      <c r="W2" s="7" t="s">
        <v>41</v>
      </c>
      <c r="X2" s="7"/>
      <c r="Y2" s="7"/>
      <c r="Z2" s="7"/>
      <c r="AA2" s="5"/>
      <c r="AB2" s="392" t="s">
        <v>84</v>
      </c>
      <c r="AC2" s="393"/>
      <c r="AD2" s="393"/>
      <c r="AE2" s="393"/>
      <c r="AF2" s="394"/>
      <c r="AG2" s="5"/>
      <c r="AH2" s="395" t="s">
        <v>47</v>
      </c>
      <c r="AI2" s="396"/>
      <c r="AJ2" s="396"/>
      <c r="AK2" s="396"/>
      <c r="AL2" s="397"/>
    </row>
    <row r="3" spans="1:40" s="15" customFormat="1" ht="24" customHeight="1" x14ac:dyDescent="0.2">
      <c r="A3" s="16" t="s">
        <v>0</v>
      </c>
      <c r="B3" s="8" t="s">
        <v>3</v>
      </c>
      <c r="C3" s="24" t="s">
        <v>8</v>
      </c>
      <c r="D3" s="24" t="s">
        <v>9</v>
      </c>
      <c r="E3" s="8" t="s">
        <v>73</v>
      </c>
      <c r="F3" s="8" t="s">
        <v>66</v>
      </c>
      <c r="G3" s="14" t="s">
        <v>5</v>
      </c>
      <c r="H3" s="14" t="s">
        <v>89</v>
      </c>
      <c r="I3" s="12"/>
      <c r="J3" s="8" t="s">
        <v>66</v>
      </c>
      <c r="K3" s="14" t="s">
        <v>5</v>
      </c>
      <c r="L3" s="14" t="s">
        <v>89</v>
      </c>
      <c r="M3" s="12"/>
      <c r="N3" s="16" t="s">
        <v>6</v>
      </c>
      <c r="O3" s="16" t="s">
        <v>7</v>
      </c>
      <c r="P3" s="16" t="s">
        <v>1</v>
      </c>
      <c r="Q3" s="30" t="s">
        <v>2</v>
      </c>
      <c r="R3" s="16" t="s">
        <v>103</v>
      </c>
      <c r="S3" s="12" t="s">
        <v>138</v>
      </c>
      <c r="T3" s="9" t="s">
        <v>4</v>
      </c>
      <c r="U3" s="12" t="s">
        <v>40</v>
      </c>
      <c r="V3" s="12"/>
      <c r="W3" s="11" t="s">
        <v>42</v>
      </c>
      <c r="X3" s="11" t="s">
        <v>43</v>
      </c>
      <c r="Y3" s="11" t="s">
        <v>44</v>
      </c>
      <c r="Z3" s="10" t="s">
        <v>46</v>
      </c>
      <c r="AA3" s="12"/>
      <c r="AB3" s="21" t="s">
        <v>216</v>
      </c>
      <c r="AC3" s="21" t="s">
        <v>217</v>
      </c>
      <c r="AD3" s="21" t="s">
        <v>218</v>
      </c>
      <c r="AE3" s="21" t="s">
        <v>88</v>
      </c>
      <c r="AF3" s="21" t="s">
        <v>85</v>
      </c>
      <c r="AG3" s="12"/>
      <c r="AH3" s="13" t="s">
        <v>48</v>
      </c>
      <c r="AI3" s="13" t="s">
        <v>49</v>
      </c>
      <c r="AJ3" s="13" t="s">
        <v>50</v>
      </c>
      <c r="AK3" s="13" t="s">
        <v>88</v>
      </c>
      <c r="AL3" s="13" t="s">
        <v>51</v>
      </c>
    </row>
    <row r="4" spans="1:40" s="19" customFormat="1" ht="38.25" customHeight="1" x14ac:dyDescent="0.25">
      <c r="A4" s="20" t="s">
        <v>54</v>
      </c>
      <c r="B4" s="16"/>
      <c r="C4" s="16"/>
      <c r="D4" s="16"/>
      <c r="E4" s="16"/>
      <c r="F4" s="16"/>
      <c r="G4" s="17"/>
      <c r="H4" s="17"/>
      <c r="I4" s="12"/>
      <c r="J4" s="16"/>
      <c r="K4" s="17"/>
      <c r="L4" s="17"/>
      <c r="M4" s="12"/>
      <c r="N4" s="16"/>
      <c r="O4" s="16"/>
      <c r="P4" s="16"/>
      <c r="Q4" s="30"/>
      <c r="R4" s="28"/>
      <c r="S4" s="12"/>
      <c r="T4" s="12"/>
      <c r="U4" s="243"/>
      <c r="V4" s="12"/>
      <c r="W4" s="18"/>
      <c r="X4" s="18"/>
      <c r="Y4" s="18"/>
      <c r="Z4" s="12"/>
      <c r="AA4" s="12"/>
      <c r="AB4" s="18"/>
      <c r="AC4" s="18"/>
      <c r="AD4" s="18"/>
      <c r="AE4" s="237"/>
      <c r="AF4" s="12"/>
      <c r="AG4" s="12"/>
      <c r="AH4" s="35"/>
      <c r="AI4" s="12"/>
      <c r="AJ4" s="12"/>
      <c r="AK4" s="12"/>
      <c r="AL4" s="12"/>
    </row>
    <row r="5" spans="1:40" s="58" customFormat="1" ht="25.5" customHeight="1" x14ac:dyDescent="0.2">
      <c r="A5" s="40" t="s">
        <v>24</v>
      </c>
      <c r="B5" s="41" t="s">
        <v>25</v>
      </c>
      <c r="C5" s="42">
        <v>35.068630239999997</v>
      </c>
      <c r="D5" s="42">
        <v>-85.142667220000007</v>
      </c>
      <c r="E5" s="43" t="s">
        <v>74</v>
      </c>
      <c r="F5" s="42">
        <v>26502</v>
      </c>
      <c r="G5" s="44">
        <v>40512</v>
      </c>
      <c r="H5" s="45" t="s">
        <v>90</v>
      </c>
      <c r="I5" s="46"/>
      <c r="J5" s="42" t="s">
        <v>57</v>
      </c>
      <c r="K5" s="44">
        <v>40513</v>
      </c>
      <c r="L5" s="238" t="s">
        <v>90</v>
      </c>
      <c r="M5" s="46"/>
      <c r="N5" s="47">
        <v>2012</v>
      </c>
      <c r="O5" s="47">
        <v>2022</v>
      </c>
      <c r="P5" s="48">
        <v>1249</v>
      </c>
      <c r="Q5" s="49">
        <v>30500</v>
      </c>
      <c r="R5" s="50" t="s">
        <v>153</v>
      </c>
      <c r="S5" s="51">
        <v>91000000</v>
      </c>
      <c r="T5" s="51"/>
      <c r="U5" s="327">
        <v>3989116</v>
      </c>
      <c r="V5" s="46"/>
      <c r="W5" s="52">
        <f t="shared" ref="W5:X10" si="0">+$U5*W$1/100</f>
        <v>90832.171320000009</v>
      </c>
      <c r="X5" s="52">
        <f t="shared" si="0"/>
        <v>60431.118283999996</v>
      </c>
      <c r="Y5" s="52">
        <f>ROUND(+$U5*Y$1/100,2)</f>
        <v>49875.92</v>
      </c>
      <c r="Z5" s="52">
        <f t="shared" ref="Z5:Z18" si="1">+W5+X5+Y5</f>
        <v>201139.20960399997</v>
      </c>
      <c r="AA5" s="46"/>
      <c r="AB5" s="53">
        <v>0</v>
      </c>
      <c r="AC5" s="54">
        <v>0</v>
      </c>
      <c r="AD5" s="54">
        <f>Y5</f>
        <v>49875.92</v>
      </c>
      <c r="AE5" s="54"/>
      <c r="AF5" s="54">
        <f t="shared" ref="AF5:AF18" si="2">+AB5+AC5+AD5+AE5</f>
        <v>49875.92</v>
      </c>
      <c r="AG5" s="264"/>
      <c r="AH5" s="55">
        <f t="shared" ref="AH5:AJ18" si="3">+W5-AB5</f>
        <v>90832.171320000009</v>
      </c>
      <c r="AI5" s="56">
        <f t="shared" si="3"/>
        <v>60431.118283999996</v>
      </c>
      <c r="AJ5" s="57">
        <f t="shared" si="3"/>
        <v>0</v>
      </c>
      <c r="AK5" s="56">
        <f t="shared" ref="AK5:AK18" si="4">-AE5</f>
        <v>0</v>
      </c>
      <c r="AL5" s="56">
        <f t="shared" ref="AL5:AL18" si="5">+Z5-AF5</f>
        <v>151263.28960399999</v>
      </c>
    </row>
    <row r="6" spans="1:40" s="58" customFormat="1" ht="25.5" customHeight="1" x14ac:dyDescent="0.2">
      <c r="A6" s="59" t="s">
        <v>141</v>
      </c>
      <c r="B6" s="60" t="s">
        <v>26</v>
      </c>
      <c r="C6" s="61">
        <v>35.069798300000002</v>
      </c>
      <c r="D6" s="61">
        <v>-85.135412052999996</v>
      </c>
      <c r="E6" s="62" t="s">
        <v>75</v>
      </c>
      <c r="F6" s="61">
        <v>26502</v>
      </c>
      <c r="G6" s="63">
        <v>40512</v>
      </c>
      <c r="H6" s="64" t="s">
        <v>90</v>
      </c>
      <c r="I6" s="65"/>
      <c r="J6" s="61" t="s">
        <v>57</v>
      </c>
      <c r="K6" s="63">
        <v>40513</v>
      </c>
      <c r="L6" s="155" t="s">
        <v>90</v>
      </c>
      <c r="M6" s="65"/>
      <c r="N6" s="66">
        <v>2012</v>
      </c>
      <c r="O6" s="66">
        <v>2022</v>
      </c>
      <c r="P6" s="67">
        <v>1249</v>
      </c>
      <c r="Q6" s="68">
        <v>30500</v>
      </c>
      <c r="R6" s="50" t="s">
        <v>154</v>
      </c>
      <c r="S6" s="70">
        <f>51000000+40000000</f>
        <v>91000000</v>
      </c>
      <c r="T6" s="70"/>
      <c r="U6" s="329">
        <v>26128360</v>
      </c>
      <c r="V6" s="65"/>
      <c r="W6" s="71">
        <f>+$U6*W$1/100</f>
        <v>594942.75720000011</v>
      </c>
      <c r="X6" s="71">
        <f>+$U6*X$1/100</f>
        <v>395818.52563999995</v>
      </c>
      <c r="Y6" s="71">
        <f>+$U6*Y$1/100</f>
        <v>326682.88507999998</v>
      </c>
      <c r="Z6" s="71">
        <f>+W6+X6+Y6</f>
        <v>1317444.1679199999</v>
      </c>
      <c r="AA6" s="65"/>
      <c r="AB6" s="72">
        <v>0</v>
      </c>
      <c r="AC6" s="73">
        <v>0</v>
      </c>
      <c r="AD6" s="73">
        <f>Y6</f>
        <v>326682.88507999998</v>
      </c>
      <c r="AE6" s="73"/>
      <c r="AF6" s="73">
        <f>+AB6+AC6+AD6+AE6</f>
        <v>326682.88507999998</v>
      </c>
      <c r="AG6" s="259"/>
      <c r="AH6" s="74">
        <f>+W6-AB6</f>
        <v>594942.75720000011</v>
      </c>
      <c r="AI6" s="75">
        <f>+X6-AC6</f>
        <v>395818.52563999995</v>
      </c>
      <c r="AJ6" s="75">
        <f>+Y6-AD6</f>
        <v>0</v>
      </c>
      <c r="AK6" s="75">
        <f>-AE6</f>
        <v>0</v>
      </c>
      <c r="AL6" s="75">
        <f>+Z6-AF6</f>
        <v>990761.28284</v>
      </c>
    </row>
    <row r="7" spans="1:40" s="58" customFormat="1" ht="25.5" customHeight="1" x14ac:dyDescent="0.2">
      <c r="A7" s="79" t="s">
        <v>142</v>
      </c>
      <c r="B7" s="80" t="s">
        <v>143</v>
      </c>
      <c r="C7" s="81">
        <v>35.052216000000001</v>
      </c>
      <c r="D7" s="81">
        <v>-85.317967999999993</v>
      </c>
      <c r="E7" s="82" t="s">
        <v>144</v>
      </c>
      <c r="F7" s="81">
        <v>24361</v>
      </c>
      <c r="G7" s="83">
        <v>38433</v>
      </c>
      <c r="H7" s="84" t="s">
        <v>90</v>
      </c>
      <c r="I7" s="85"/>
      <c r="J7" s="86" t="s">
        <v>145</v>
      </c>
      <c r="K7" s="87">
        <v>38434</v>
      </c>
      <c r="L7" s="88" t="s">
        <v>90</v>
      </c>
      <c r="M7" s="85"/>
      <c r="N7" s="89">
        <v>2010</v>
      </c>
      <c r="O7" s="89">
        <v>2025</v>
      </c>
      <c r="P7" s="90"/>
      <c r="Q7" s="91"/>
      <c r="R7" s="92" t="s">
        <v>10</v>
      </c>
      <c r="S7" s="93"/>
      <c r="T7" s="93"/>
      <c r="U7" s="295">
        <f>36303760+40705200+412320+10243893</f>
        <v>87665173</v>
      </c>
      <c r="V7" s="85"/>
      <c r="W7" s="94">
        <f t="shared" ref="W7:Y7" si="6">+$U7*W$1/100</f>
        <v>1996135.98921</v>
      </c>
      <c r="X7" s="94">
        <f t="shared" si="6"/>
        <v>1328039.7057769999</v>
      </c>
      <c r="Y7" s="94">
        <f t="shared" si="6"/>
        <v>1096077.658019</v>
      </c>
      <c r="Z7" s="94">
        <f t="shared" ref="Z7" si="7">+W7+X7+Y7</f>
        <v>4420253.3530059997</v>
      </c>
      <c r="AA7" s="85"/>
      <c r="AB7" s="95">
        <f t="shared" ref="AB7:AD7" si="8">W7/2</f>
        <v>998067.99460500001</v>
      </c>
      <c r="AC7" s="95">
        <f t="shared" si="8"/>
        <v>664019.85288849997</v>
      </c>
      <c r="AD7" s="95">
        <f t="shared" si="8"/>
        <v>548038.82900949998</v>
      </c>
      <c r="AE7" s="96"/>
      <c r="AF7" s="96">
        <f t="shared" ref="AF7" si="9">+AB7+AC7+AD7+AE7</f>
        <v>2210126.6765029998</v>
      </c>
      <c r="AG7" s="85"/>
      <c r="AH7" s="97">
        <f t="shared" ref="AH7:AJ7" si="10">+W7-AB7</f>
        <v>998067.99460500001</v>
      </c>
      <c r="AI7" s="97">
        <f t="shared" si="10"/>
        <v>664019.85288849997</v>
      </c>
      <c r="AJ7" s="97">
        <f t="shared" si="10"/>
        <v>548038.82900949998</v>
      </c>
      <c r="AK7" s="97">
        <f t="shared" ref="AK7" si="11">-AE7</f>
        <v>0</v>
      </c>
      <c r="AL7" s="97">
        <f t="shared" ref="AL7" si="12">+Z7-AF7</f>
        <v>2210126.6765029998</v>
      </c>
    </row>
    <row r="8" spans="1:40" s="58" customFormat="1" ht="25.5" customHeight="1" x14ac:dyDescent="0.2">
      <c r="A8" s="59" t="s">
        <v>92</v>
      </c>
      <c r="B8" s="60" t="s">
        <v>11</v>
      </c>
      <c r="C8" s="61">
        <v>35.047637000000002</v>
      </c>
      <c r="D8" s="61">
        <v>-85.186363</v>
      </c>
      <c r="E8" s="62" t="s">
        <v>128</v>
      </c>
      <c r="F8" s="61">
        <v>27804</v>
      </c>
      <c r="G8" s="63">
        <v>41709</v>
      </c>
      <c r="H8" s="64" t="s">
        <v>90</v>
      </c>
      <c r="I8" s="65"/>
      <c r="J8" s="66" t="s">
        <v>83</v>
      </c>
      <c r="K8" s="101">
        <v>41717</v>
      </c>
      <c r="L8" s="155" t="s">
        <v>90</v>
      </c>
      <c r="M8" s="65"/>
      <c r="N8" s="66">
        <v>2016</v>
      </c>
      <c r="O8" s="66">
        <v>2027</v>
      </c>
      <c r="P8" s="76">
        <f>43+270</f>
        <v>313</v>
      </c>
      <c r="Q8" s="68">
        <v>45000</v>
      </c>
      <c r="R8" s="69" t="s">
        <v>192</v>
      </c>
      <c r="S8" s="70">
        <v>62000000</v>
      </c>
      <c r="T8" s="70"/>
      <c r="U8" s="329">
        <f>17694680+2718463</f>
        <v>20413143</v>
      </c>
      <c r="V8" s="65"/>
      <c r="W8" s="71">
        <f>+$U8*W$1/100</f>
        <v>464807.26611000003</v>
      </c>
      <c r="X8" s="71">
        <f t="shared" si="0"/>
        <v>309238.70330699999</v>
      </c>
      <c r="Y8" s="71">
        <f>+$U8*Y$1/100</f>
        <v>255225.52692899999</v>
      </c>
      <c r="Z8" s="71">
        <f t="shared" si="1"/>
        <v>1029271.4963459999</v>
      </c>
      <c r="AA8" s="65"/>
      <c r="AB8" s="73">
        <f>W8*0.35</f>
        <v>162682.54313850001</v>
      </c>
      <c r="AC8" s="73">
        <f>X8*0.35</f>
        <v>108233.54615744999</v>
      </c>
      <c r="AD8" s="73">
        <f>Y8</f>
        <v>255225.52692899999</v>
      </c>
      <c r="AE8" s="73">
        <f>SUM(W8:X8)*0.05</f>
        <v>38702.298470850001</v>
      </c>
      <c r="AF8" s="73">
        <f t="shared" si="2"/>
        <v>564843.91469579993</v>
      </c>
      <c r="AG8" s="259"/>
      <c r="AH8" s="74">
        <f t="shared" si="3"/>
        <v>302124.72297150001</v>
      </c>
      <c r="AI8" s="75">
        <f t="shared" si="3"/>
        <v>201005.15714954998</v>
      </c>
      <c r="AJ8" s="75">
        <f t="shared" si="3"/>
        <v>0</v>
      </c>
      <c r="AK8" s="75">
        <f t="shared" si="4"/>
        <v>-38702.298470850001</v>
      </c>
      <c r="AL8" s="75">
        <f t="shared" si="5"/>
        <v>464427.58165019995</v>
      </c>
    </row>
    <row r="9" spans="1:40" s="58" customFormat="1" ht="25.5" customHeight="1" x14ac:dyDescent="0.2">
      <c r="A9" s="245" t="s">
        <v>97</v>
      </c>
      <c r="B9" s="142"/>
      <c r="C9" s="246"/>
      <c r="D9" s="246"/>
      <c r="E9" s="147" t="s">
        <v>186</v>
      </c>
      <c r="F9" s="61">
        <v>28302</v>
      </c>
      <c r="G9" s="63">
        <v>42185</v>
      </c>
      <c r="H9" s="103" t="s">
        <v>90</v>
      </c>
      <c r="I9" s="65"/>
      <c r="J9" s="62" t="s">
        <v>108</v>
      </c>
      <c r="K9" s="104">
        <v>42186</v>
      </c>
      <c r="L9" s="153" t="s">
        <v>90</v>
      </c>
      <c r="M9" s="65"/>
      <c r="N9" s="66">
        <v>2017</v>
      </c>
      <c r="O9" s="66">
        <v>2026</v>
      </c>
      <c r="P9" s="98">
        <v>136</v>
      </c>
      <c r="Q9" s="68"/>
      <c r="R9" s="69"/>
      <c r="S9" s="70">
        <v>39100000</v>
      </c>
      <c r="T9" s="70"/>
      <c r="U9" s="329">
        <f>15619800+5987617</f>
        <v>21607417</v>
      </c>
      <c r="V9" s="65"/>
      <c r="W9" s="247">
        <f>+$U9*W$1/100</f>
        <v>492000.88509000005</v>
      </c>
      <c r="X9" s="247">
        <f t="shared" si="0"/>
        <v>327330.76013299997</v>
      </c>
      <c r="Y9" s="247">
        <f>+$U9*Y$1/100</f>
        <v>270157.534751</v>
      </c>
      <c r="Z9" s="247">
        <f t="shared" ref="Z9" si="13">+W9+X9+Y9</f>
        <v>1089489.179974</v>
      </c>
      <c r="AA9" s="65"/>
      <c r="AB9" s="282">
        <f>W9*0.4</f>
        <v>196800.35403600003</v>
      </c>
      <c r="AC9" s="105">
        <f>X9*0.5</f>
        <v>163665.38006649999</v>
      </c>
      <c r="AD9" s="73">
        <f>Y9</f>
        <v>270157.534751</v>
      </c>
      <c r="AE9" s="261">
        <f>SUM(X9:Y9)*0.1253+SUM(W9*0.15)</f>
        <v>148665.4161124652</v>
      </c>
      <c r="AF9" s="73">
        <f>SUM(AB9:AE9)</f>
        <v>779288.68496596522</v>
      </c>
      <c r="AG9" s="259"/>
      <c r="AH9" s="262">
        <f t="shared" ref="AH9:AH10" si="14">+W9-AB9</f>
        <v>295200.53105400002</v>
      </c>
      <c r="AI9" s="260">
        <f t="shared" ref="AI9:AI10" si="15">+X9-AC9</f>
        <v>163665.38006649999</v>
      </c>
      <c r="AJ9" s="260">
        <f t="shared" ref="AJ9:AJ10" si="16">+Y9-AD9</f>
        <v>0</v>
      </c>
      <c r="AK9" s="260">
        <f t="shared" ref="AK9:AK10" si="17">-AE9</f>
        <v>-148665.4161124652</v>
      </c>
      <c r="AL9" s="75">
        <f t="shared" si="5"/>
        <v>310200.49500803475</v>
      </c>
      <c r="AM9" s="106"/>
    </row>
    <row r="10" spans="1:40" s="58" customFormat="1" ht="25.5" customHeight="1" x14ac:dyDescent="0.2">
      <c r="A10" s="294" t="s">
        <v>146</v>
      </c>
      <c r="B10" s="142"/>
      <c r="C10" s="292"/>
      <c r="D10" s="292"/>
      <c r="E10" s="147" t="s">
        <v>202</v>
      </c>
      <c r="F10" s="61">
        <v>29035</v>
      </c>
      <c r="G10" s="63">
        <v>42871</v>
      </c>
      <c r="H10" s="103" t="s">
        <v>90</v>
      </c>
      <c r="I10" s="65"/>
      <c r="J10" s="62" t="s">
        <v>147</v>
      </c>
      <c r="K10" s="104">
        <v>42872</v>
      </c>
      <c r="L10" s="153" t="s">
        <v>90</v>
      </c>
      <c r="M10" s="65"/>
      <c r="N10" s="66">
        <v>2019</v>
      </c>
      <c r="O10" s="66">
        <v>2023</v>
      </c>
      <c r="P10" s="98">
        <v>192</v>
      </c>
      <c r="Q10" s="68">
        <v>39250</v>
      </c>
      <c r="R10" s="69"/>
      <c r="S10" s="70">
        <v>5700000</v>
      </c>
      <c r="T10" s="70"/>
      <c r="U10" s="329">
        <f>2182440+327961</f>
        <v>2510401</v>
      </c>
      <c r="V10" s="65"/>
      <c r="W10" s="288">
        <f>+$U10*W$1/100</f>
        <v>57161.830770000008</v>
      </c>
      <c r="X10" s="288">
        <f t="shared" si="0"/>
        <v>38030.064748999997</v>
      </c>
      <c r="Y10" s="288">
        <f>+$U10*Y$1/100</f>
        <v>31387.543702999999</v>
      </c>
      <c r="Z10" s="288">
        <f t="shared" ref="Z10" si="18">+W10+X10+Y10</f>
        <v>126579.43922200002</v>
      </c>
      <c r="AA10" s="65"/>
      <c r="AB10" s="72">
        <f>W10*0.25</f>
        <v>14290.457692500002</v>
      </c>
      <c r="AC10" s="105">
        <f>X10*0.25</f>
        <v>9507.5161872499993</v>
      </c>
      <c r="AD10" s="73">
        <f>Y10</f>
        <v>31387.543702999999</v>
      </c>
      <c r="AE10" s="290">
        <f>SUM(X10:Y10)*0.1253+SUM(W10*0.15)</f>
        <v>17272.3009545356</v>
      </c>
      <c r="AF10" s="290">
        <f>SUM(AB10:AE10)</f>
        <v>72457.81853728561</v>
      </c>
      <c r="AG10" s="259"/>
      <c r="AH10" s="262">
        <f t="shared" si="14"/>
        <v>42871.373077500008</v>
      </c>
      <c r="AI10" s="260">
        <f t="shared" si="15"/>
        <v>28522.548561749998</v>
      </c>
      <c r="AJ10" s="260">
        <f t="shared" si="16"/>
        <v>0</v>
      </c>
      <c r="AK10" s="260">
        <f t="shared" si="17"/>
        <v>-17272.3009545356</v>
      </c>
      <c r="AL10" s="260">
        <f t="shared" si="5"/>
        <v>54121.620684714406</v>
      </c>
      <c r="AM10" s="106"/>
    </row>
    <row r="11" spans="1:40" s="58" customFormat="1" ht="25.5" customHeight="1" x14ac:dyDescent="0.2">
      <c r="A11" s="59" t="s">
        <v>13</v>
      </c>
      <c r="B11" s="60" t="s">
        <v>14</v>
      </c>
      <c r="C11" s="61">
        <v>35.030859</v>
      </c>
      <c r="D11" s="61">
        <v>-85.161440999999996</v>
      </c>
      <c r="E11" s="62" t="s">
        <v>76</v>
      </c>
      <c r="F11" s="61">
        <v>25042</v>
      </c>
      <c r="G11" s="63">
        <v>39133</v>
      </c>
      <c r="H11" s="64" t="s">
        <v>90</v>
      </c>
      <c r="I11" s="65"/>
      <c r="J11" s="61" t="s">
        <v>59</v>
      </c>
      <c r="K11" s="63">
        <v>39134</v>
      </c>
      <c r="L11" s="155" t="s">
        <v>90</v>
      </c>
      <c r="M11" s="65"/>
      <c r="N11" s="66">
        <v>2008</v>
      </c>
      <c r="O11" s="66">
        <v>2020</v>
      </c>
      <c r="P11" s="98">
        <v>104</v>
      </c>
      <c r="Q11" s="68">
        <v>56500</v>
      </c>
      <c r="R11" s="69"/>
      <c r="S11" s="70">
        <v>11000000</v>
      </c>
      <c r="T11" s="70"/>
      <c r="U11" s="329">
        <f>4419480+60575</f>
        <v>4480055</v>
      </c>
      <c r="V11" s="65"/>
      <c r="W11" s="71">
        <f t="shared" ref="W11:Y17" si="19">+$U11*W$1/100</f>
        <v>102010.85235000002</v>
      </c>
      <c r="X11" s="71">
        <f t="shared" si="19"/>
        <v>67868.353194999989</v>
      </c>
      <c r="Y11" s="71">
        <f t="shared" si="19"/>
        <v>56014.127665</v>
      </c>
      <c r="Z11" s="71">
        <f t="shared" si="1"/>
        <v>225893.33321000001</v>
      </c>
      <c r="AA11" s="65"/>
      <c r="AB11" s="77">
        <f t="shared" ref="AB11:AD11" si="20">W11/2</f>
        <v>51005.426175000008</v>
      </c>
      <c r="AC11" s="77">
        <f t="shared" si="20"/>
        <v>33934.176597499994</v>
      </c>
      <c r="AD11" s="77">
        <f t="shared" si="20"/>
        <v>28007.0638325</v>
      </c>
      <c r="AE11" s="73"/>
      <c r="AF11" s="73">
        <f t="shared" si="2"/>
        <v>112946.66660500001</v>
      </c>
      <c r="AG11" s="259"/>
      <c r="AH11" s="74">
        <f t="shared" si="3"/>
        <v>51005.426175000008</v>
      </c>
      <c r="AI11" s="75">
        <f t="shared" si="3"/>
        <v>33934.176597499994</v>
      </c>
      <c r="AJ11" s="75">
        <f t="shared" si="3"/>
        <v>28007.0638325</v>
      </c>
      <c r="AK11" s="75">
        <f t="shared" si="4"/>
        <v>0</v>
      </c>
      <c r="AL11" s="75">
        <f t="shared" si="5"/>
        <v>112946.66660500001</v>
      </c>
    </row>
    <row r="12" spans="1:40" s="58" customFormat="1" ht="25.5" customHeight="1" x14ac:dyDescent="0.2">
      <c r="A12" s="59" t="s">
        <v>15</v>
      </c>
      <c r="B12" s="60" t="s">
        <v>16</v>
      </c>
      <c r="C12" s="61">
        <v>35.077647599999999</v>
      </c>
      <c r="D12" s="61">
        <v>-85.153917399999997</v>
      </c>
      <c r="E12" s="62" t="s">
        <v>118</v>
      </c>
      <c r="F12" s="61">
        <v>27892</v>
      </c>
      <c r="G12" s="63">
        <v>41793</v>
      </c>
      <c r="H12" s="64" t="s">
        <v>90</v>
      </c>
      <c r="I12" s="65"/>
      <c r="J12" s="61" t="s">
        <v>61</v>
      </c>
      <c r="K12" s="63">
        <v>41794</v>
      </c>
      <c r="L12" s="155" t="s">
        <v>90</v>
      </c>
      <c r="M12" s="65"/>
      <c r="N12" s="66">
        <v>2014</v>
      </c>
      <c r="O12" s="66">
        <v>2025</v>
      </c>
      <c r="P12" s="76">
        <v>250</v>
      </c>
      <c r="Q12" s="68">
        <v>44699</v>
      </c>
      <c r="R12" s="69"/>
      <c r="S12" s="70">
        <v>50000000</v>
      </c>
      <c r="T12" s="70"/>
      <c r="U12" s="329">
        <f>8151880+6158927</f>
        <v>14310807</v>
      </c>
      <c r="V12" s="65"/>
      <c r="W12" s="71">
        <f t="shared" si="19"/>
        <v>325857.07539000001</v>
      </c>
      <c r="X12" s="71">
        <f t="shared" si="19"/>
        <v>216794.41524299997</v>
      </c>
      <c r="Y12" s="71">
        <f t="shared" si="19"/>
        <v>178928.019921</v>
      </c>
      <c r="Z12" s="71">
        <f t="shared" si="1"/>
        <v>721579.51055399992</v>
      </c>
      <c r="AA12" s="65"/>
      <c r="AB12" s="72">
        <f>92809.16+70119.39</f>
        <v>162928.54999999999</v>
      </c>
      <c r="AC12" s="72">
        <f>61746.42+46650.8</f>
        <v>108397.22</v>
      </c>
      <c r="AD12" s="72">
        <f>Y12</f>
        <v>178928.019921</v>
      </c>
      <c r="AE12" s="261">
        <f>SUM(W12:X12)*0.15</f>
        <v>81397.723594949988</v>
      </c>
      <c r="AF12" s="73">
        <f t="shared" si="2"/>
        <v>531651.51351594995</v>
      </c>
      <c r="AG12" s="259"/>
      <c r="AH12" s="74">
        <f t="shared" si="3"/>
        <v>162928.52539000002</v>
      </c>
      <c r="AI12" s="75">
        <f t="shared" si="3"/>
        <v>108397.19524299997</v>
      </c>
      <c r="AJ12" s="75">
        <f t="shared" si="3"/>
        <v>0</v>
      </c>
      <c r="AK12" s="75">
        <f t="shared" si="4"/>
        <v>-81397.723594949988</v>
      </c>
      <c r="AL12" s="75">
        <f t="shared" si="5"/>
        <v>189927.99703804997</v>
      </c>
      <c r="AN12" s="107">
        <f>+AI12*0.15</f>
        <v>16259.579286449994</v>
      </c>
    </row>
    <row r="13" spans="1:40" s="58" customFormat="1" ht="30" customHeight="1" x14ac:dyDescent="0.2">
      <c r="A13" s="59" t="s">
        <v>17</v>
      </c>
      <c r="B13" s="60" t="s">
        <v>18</v>
      </c>
      <c r="C13" s="61">
        <v>35.052191000000001</v>
      </c>
      <c r="D13" s="61">
        <v>85.307854000000006</v>
      </c>
      <c r="E13" s="62" t="s">
        <v>77</v>
      </c>
      <c r="F13" s="61">
        <v>25843</v>
      </c>
      <c r="G13" s="63">
        <v>39882</v>
      </c>
      <c r="H13" s="64" t="s">
        <v>90</v>
      </c>
      <c r="I13" s="65"/>
      <c r="J13" s="61" t="s">
        <v>62</v>
      </c>
      <c r="K13" s="63">
        <v>39890</v>
      </c>
      <c r="L13" s="155" t="s">
        <v>90</v>
      </c>
      <c r="M13" s="65"/>
      <c r="N13" s="66">
        <v>2011</v>
      </c>
      <c r="O13" s="66">
        <v>2025</v>
      </c>
      <c r="P13" s="76"/>
      <c r="Q13" s="68"/>
      <c r="R13" s="108"/>
      <c r="S13" s="70">
        <v>21000000</v>
      </c>
      <c r="T13" s="70"/>
      <c r="U13" s="329">
        <v>8368120</v>
      </c>
      <c r="V13" s="65"/>
      <c r="W13" s="71">
        <f t="shared" si="19"/>
        <v>190542.09240000002</v>
      </c>
      <c r="X13" s="71">
        <f t="shared" si="19"/>
        <v>126768.64988</v>
      </c>
      <c r="Y13" s="71">
        <f t="shared" si="19"/>
        <v>104626.60435999998</v>
      </c>
      <c r="Z13" s="71">
        <f t="shared" si="1"/>
        <v>421937.34664</v>
      </c>
      <c r="AA13" s="65"/>
      <c r="AB13" s="72">
        <f>+W13*0.3</f>
        <v>57162.627720000004</v>
      </c>
      <c r="AC13" s="73">
        <f>+X13*0.3</f>
        <v>38030.594963999996</v>
      </c>
      <c r="AD13" s="73">
        <f>+Y13*0.3</f>
        <v>31387.981307999995</v>
      </c>
      <c r="AE13" s="73"/>
      <c r="AF13" s="73">
        <f t="shared" si="2"/>
        <v>126581.203992</v>
      </c>
      <c r="AG13" s="259"/>
      <c r="AH13" s="74">
        <f t="shared" si="3"/>
        <v>133379.46468000003</v>
      </c>
      <c r="AI13" s="75">
        <f t="shared" si="3"/>
        <v>88738.054915999994</v>
      </c>
      <c r="AJ13" s="75">
        <f t="shared" si="3"/>
        <v>73238.623051999981</v>
      </c>
      <c r="AK13" s="75">
        <f t="shared" si="4"/>
        <v>0</v>
      </c>
      <c r="AL13" s="75">
        <f t="shared" si="5"/>
        <v>295356.14264800004</v>
      </c>
    </row>
    <row r="14" spans="1:40" s="58" customFormat="1" ht="25.5" customHeight="1" x14ac:dyDescent="0.2">
      <c r="A14" s="59" t="s">
        <v>27</v>
      </c>
      <c r="B14" s="60" t="s">
        <v>28</v>
      </c>
      <c r="C14" s="61">
        <v>35.053296000000003</v>
      </c>
      <c r="D14" s="61">
        <v>-85.311479199999994</v>
      </c>
      <c r="E14" s="62" t="s">
        <v>78</v>
      </c>
      <c r="F14" s="61">
        <v>25682</v>
      </c>
      <c r="G14" s="63">
        <v>39721</v>
      </c>
      <c r="H14" s="64" t="s">
        <v>90</v>
      </c>
      <c r="I14" s="65"/>
      <c r="J14" s="61" t="s">
        <v>63</v>
      </c>
      <c r="K14" s="63">
        <v>39722</v>
      </c>
      <c r="L14" s="155" t="s">
        <v>90</v>
      </c>
      <c r="M14" s="65"/>
      <c r="N14" s="66">
        <v>2010</v>
      </c>
      <c r="O14" s="66">
        <v>2024</v>
      </c>
      <c r="P14" s="76"/>
      <c r="Q14" s="68"/>
      <c r="R14" s="69"/>
      <c r="S14" s="70">
        <v>7000000</v>
      </c>
      <c r="T14" s="70"/>
      <c r="U14" s="329">
        <v>4342920</v>
      </c>
      <c r="V14" s="65"/>
      <c r="W14" s="71">
        <f t="shared" si="19"/>
        <v>98888.288400000005</v>
      </c>
      <c r="X14" s="71">
        <f t="shared" si="19"/>
        <v>65790.895079999988</v>
      </c>
      <c r="Y14" s="71">
        <f t="shared" si="19"/>
        <v>54299.528760000001</v>
      </c>
      <c r="Z14" s="71">
        <f t="shared" si="1"/>
        <v>218978.71224000002</v>
      </c>
      <c r="AA14" s="65"/>
      <c r="AB14" s="72">
        <v>0</v>
      </c>
      <c r="AC14" s="73">
        <v>0</v>
      </c>
      <c r="AD14" s="73">
        <f>Y14</f>
        <v>54299.528760000001</v>
      </c>
      <c r="AE14" s="73"/>
      <c r="AF14" s="73">
        <f t="shared" si="2"/>
        <v>54299.528760000001</v>
      </c>
      <c r="AG14" s="259"/>
      <c r="AH14" s="74">
        <f t="shared" si="3"/>
        <v>98888.288400000005</v>
      </c>
      <c r="AI14" s="75">
        <f t="shared" si="3"/>
        <v>65790.895079999988</v>
      </c>
      <c r="AJ14" s="75">
        <f t="shared" si="3"/>
        <v>0</v>
      </c>
      <c r="AK14" s="75">
        <f t="shared" si="4"/>
        <v>0</v>
      </c>
      <c r="AL14" s="75">
        <f t="shared" si="5"/>
        <v>164679.18348000001</v>
      </c>
    </row>
    <row r="15" spans="1:40" s="58" customFormat="1" ht="25.5" customHeight="1" x14ac:dyDescent="0.2">
      <c r="A15" s="59" t="s">
        <v>65</v>
      </c>
      <c r="B15" s="60" t="s">
        <v>19</v>
      </c>
      <c r="C15" s="61">
        <v>35.083309</v>
      </c>
      <c r="D15" s="61">
        <v>-85.261724999999998</v>
      </c>
      <c r="E15" s="62" t="s">
        <v>121</v>
      </c>
      <c r="F15" s="61">
        <v>28072</v>
      </c>
      <c r="G15" s="63">
        <v>41975</v>
      </c>
      <c r="H15" s="64" t="s">
        <v>90</v>
      </c>
      <c r="I15" s="65"/>
      <c r="J15" s="61" t="s">
        <v>64</v>
      </c>
      <c r="K15" s="63">
        <v>41976</v>
      </c>
      <c r="L15" s="155" t="s">
        <v>90</v>
      </c>
      <c r="M15" s="65"/>
      <c r="N15" s="66">
        <v>2015</v>
      </c>
      <c r="O15" s="66">
        <v>2022</v>
      </c>
      <c r="P15" s="76">
        <v>105</v>
      </c>
      <c r="Q15" s="68">
        <v>45000</v>
      </c>
      <c r="R15" s="69"/>
      <c r="S15" s="70">
        <v>18100000</v>
      </c>
      <c r="T15" s="70"/>
      <c r="U15" s="329">
        <f>800320+3490240+633760+148680+1498596</f>
        <v>6571596</v>
      </c>
      <c r="V15" s="65"/>
      <c r="W15" s="71">
        <f t="shared" si="19"/>
        <v>149635.24092000001</v>
      </c>
      <c r="X15" s="71">
        <f t="shared" si="19"/>
        <v>99553.107803999985</v>
      </c>
      <c r="Y15" s="71">
        <f>ROUND(+$U15*Y$1/100,2)</f>
        <v>82164.66</v>
      </c>
      <c r="Z15" s="71">
        <f t="shared" si="1"/>
        <v>331353.00872399996</v>
      </c>
      <c r="AA15" s="65"/>
      <c r="AB15" s="279">
        <f>W15*0.5</f>
        <v>74817.620460000006</v>
      </c>
      <c r="AC15" s="73">
        <f>X15*0.5</f>
        <v>49776.553901999992</v>
      </c>
      <c r="AD15" s="73">
        <f>Y15</f>
        <v>82164.66</v>
      </c>
      <c r="AE15" s="261">
        <f>SUM(X15*0.15)+SUM(W15*0.15)</f>
        <v>37378.2523086</v>
      </c>
      <c r="AF15" s="73">
        <f t="shared" si="2"/>
        <v>244137.08667059999</v>
      </c>
      <c r="AG15" s="259"/>
      <c r="AH15" s="74">
        <f t="shared" si="3"/>
        <v>74817.620460000006</v>
      </c>
      <c r="AI15" s="75">
        <f t="shared" si="3"/>
        <v>49776.553901999992</v>
      </c>
      <c r="AJ15" s="75">
        <f t="shared" si="3"/>
        <v>0</v>
      </c>
      <c r="AK15" s="75">
        <f t="shared" si="4"/>
        <v>-37378.2523086</v>
      </c>
      <c r="AL15" s="75">
        <f t="shared" si="5"/>
        <v>87215.922053399961</v>
      </c>
      <c r="AN15" s="107">
        <f>+X15*0.15</f>
        <v>14932.966170599997</v>
      </c>
    </row>
    <row r="16" spans="1:40" s="58" customFormat="1" ht="41.45" customHeight="1" x14ac:dyDescent="0.2">
      <c r="A16" s="59" t="s">
        <v>109</v>
      </c>
      <c r="B16" s="60" t="s">
        <v>152</v>
      </c>
      <c r="C16" s="61"/>
      <c r="D16" s="61"/>
      <c r="E16" s="62" t="s">
        <v>129</v>
      </c>
      <c r="F16" s="61">
        <v>28002</v>
      </c>
      <c r="G16" s="63">
        <v>41891</v>
      </c>
      <c r="H16" s="103" t="s">
        <v>90</v>
      </c>
      <c r="I16" s="65"/>
      <c r="J16" s="66" t="s">
        <v>94</v>
      </c>
      <c r="K16" s="101">
        <v>41899</v>
      </c>
      <c r="L16" s="153" t="s">
        <v>90</v>
      </c>
      <c r="M16" s="65"/>
      <c r="N16" s="66">
        <v>2016</v>
      </c>
      <c r="O16" s="66">
        <v>2020</v>
      </c>
      <c r="P16" s="76">
        <v>30</v>
      </c>
      <c r="Q16" s="68">
        <v>49000</v>
      </c>
      <c r="R16" s="69"/>
      <c r="S16" s="70">
        <v>5050000</v>
      </c>
      <c r="T16" s="70"/>
      <c r="U16" s="329">
        <f>1399280+266229</f>
        <v>1665509</v>
      </c>
      <c r="V16" s="65"/>
      <c r="W16" s="71">
        <f t="shared" si="19"/>
        <v>37923.639930000005</v>
      </c>
      <c r="X16" s="71">
        <f t="shared" si="19"/>
        <v>25230.795840999996</v>
      </c>
      <c r="Y16" s="71">
        <f t="shared" si="19"/>
        <v>20823.859026999999</v>
      </c>
      <c r="Z16" s="71">
        <f>+W16+X16+Y16</f>
        <v>83978.294798000003</v>
      </c>
      <c r="AA16" s="65"/>
      <c r="AB16" s="72">
        <f>15930.81+3031.02</f>
        <v>18961.829999999998</v>
      </c>
      <c r="AC16" s="73">
        <f>10598.85+2016.55</f>
        <v>12615.4</v>
      </c>
      <c r="AD16" s="73">
        <f>Y16</f>
        <v>20823.859026999999</v>
      </c>
      <c r="AE16" s="261">
        <f>SUM(W16:X16)*0.15</f>
        <v>9473.1653656500002</v>
      </c>
      <c r="AF16" s="73">
        <f t="shared" si="2"/>
        <v>61874.254392649993</v>
      </c>
      <c r="AG16" s="259"/>
      <c r="AH16" s="74">
        <f>+W16-AB16</f>
        <v>18961.809930000007</v>
      </c>
      <c r="AI16" s="75">
        <f>+X16-AC16</f>
        <v>12615.395840999996</v>
      </c>
      <c r="AJ16" s="75">
        <f>+Y16-AD16</f>
        <v>0</v>
      </c>
      <c r="AK16" s="75">
        <f>-AE16</f>
        <v>-9473.1653656500002</v>
      </c>
      <c r="AL16" s="75">
        <f>+Z16-AF16</f>
        <v>22104.04040535001</v>
      </c>
      <c r="AN16" s="107">
        <f>+X16*0.15</f>
        <v>3784.619376149999</v>
      </c>
    </row>
    <row r="17" spans="1:39" s="58" customFormat="1" ht="54" customHeight="1" x14ac:dyDescent="0.2">
      <c r="A17" s="59" t="s">
        <v>29</v>
      </c>
      <c r="B17" s="60" t="s">
        <v>30</v>
      </c>
      <c r="C17" s="61">
        <v>35.079189999999997</v>
      </c>
      <c r="D17" s="61">
        <v>-85.138220000000004</v>
      </c>
      <c r="E17" s="62" t="s">
        <v>80</v>
      </c>
      <c r="F17" s="61">
        <v>25738</v>
      </c>
      <c r="G17" s="63">
        <v>39777</v>
      </c>
      <c r="H17" s="64" t="s">
        <v>90</v>
      </c>
      <c r="I17" s="65"/>
      <c r="J17" s="61" t="s">
        <v>69</v>
      </c>
      <c r="K17" s="63">
        <v>39765</v>
      </c>
      <c r="L17" s="155" t="s">
        <v>90</v>
      </c>
      <c r="M17" s="65"/>
      <c r="N17" s="66">
        <v>2010</v>
      </c>
      <c r="O17" s="66">
        <v>2038</v>
      </c>
      <c r="P17" s="109">
        <v>2000</v>
      </c>
      <c r="Q17" s="68"/>
      <c r="R17" s="69" t="s">
        <v>193</v>
      </c>
      <c r="S17" s="70">
        <v>1000000000</v>
      </c>
      <c r="T17" s="70"/>
      <c r="U17" s="329">
        <f>4000000+261985768+149178248</f>
        <v>415164016</v>
      </c>
      <c r="V17" s="65"/>
      <c r="W17" s="71">
        <f>+$U17*W$1/100+790440.37</f>
        <v>10243725.014319999</v>
      </c>
      <c r="X17" s="71">
        <f t="shared" si="19"/>
        <v>6289319.6783840004</v>
      </c>
      <c r="Y17" s="71">
        <f t="shared" si="19"/>
        <v>5190795.6920480002</v>
      </c>
      <c r="Z17" s="71">
        <f t="shared" si="1"/>
        <v>21723840.384751998</v>
      </c>
      <c r="AA17" s="65"/>
      <c r="AB17" s="72">
        <v>790440.37</v>
      </c>
      <c r="AC17" s="73">
        <v>0</v>
      </c>
      <c r="AD17" s="73">
        <v>4400355.32</v>
      </c>
      <c r="AE17" s="73"/>
      <c r="AF17" s="73">
        <f t="shared" si="2"/>
        <v>5190795.6900000004</v>
      </c>
      <c r="AG17" s="259"/>
      <c r="AH17" s="74">
        <f t="shared" si="3"/>
        <v>9453284.64432</v>
      </c>
      <c r="AI17" s="75">
        <f t="shared" si="3"/>
        <v>6289319.6783840004</v>
      </c>
      <c r="AJ17" s="75">
        <f t="shared" si="3"/>
        <v>790440.37204799987</v>
      </c>
      <c r="AK17" s="75">
        <f t="shared" si="4"/>
        <v>0</v>
      </c>
      <c r="AL17" s="75">
        <f t="shared" si="5"/>
        <v>16533044.694751997</v>
      </c>
    </row>
    <row r="18" spans="1:39" s="58" customFormat="1" ht="25.5" customHeight="1" x14ac:dyDescent="0.2">
      <c r="A18" s="231" t="s">
        <v>45</v>
      </c>
      <c r="B18" s="142" t="s">
        <v>87</v>
      </c>
      <c r="C18" s="232">
        <v>35.079189999999997</v>
      </c>
      <c r="D18" s="232">
        <v>-85.138220000000004</v>
      </c>
      <c r="E18" s="147"/>
      <c r="F18" s="61">
        <v>27960</v>
      </c>
      <c r="G18" s="63">
        <v>41849</v>
      </c>
      <c r="H18" s="64" t="s">
        <v>90</v>
      </c>
      <c r="I18" s="65"/>
      <c r="J18" s="61" t="s">
        <v>72</v>
      </c>
      <c r="K18" s="63">
        <v>41843</v>
      </c>
      <c r="L18" s="155" t="s">
        <v>90</v>
      </c>
      <c r="M18" s="65"/>
      <c r="N18" s="66">
        <v>2015</v>
      </c>
      <c r="O18" s="66">
        <v>2038</v>
      </c>
      <c r="P18" s="109">
        <v>2000</v>
      </c>
      <c r="Q18" s="68"/>
      <c r="R18" s="69"/>
      <c r="S18" s="70">
        <v>900000000</v>
      </c>
      <c r="T18" s="70"/>
      <c r="U18" s="329"/>
      <c r="V18" s="65"/>
      <c r="W18" s="71">
        <v>0</v>
      </c>
      <c r="X18" s="71">
        <v>0</v>
      </c>
      <c r="Y18" s="71">
        <v>0</v>
      </c>
      <c r="Z18" s="71">
        <f t="shared" si="1"/>
        <v>0</v>
      </c>
      <c r="AA18" s="65"/>
      <c r="AB18" s="72">
        <v>0</v>
      </c>
      <c r="AC18" s="73">
        <v>0</v>
      </c>
      <c r="AD18" s="73">
        <v>0</v>
      </c>
      <c r="AE18" s="73">
        <v>250000</v>
      </c>
      <c r="AF18" s="73">
        <f t="shared" si="2"/>
        <v>250000</v>
      </c>
      <c r="AG18" s="259"/>
      <c r="AH18" s="74">
        <f t="shared" si="3"/>
        <v>0</v>
      </c>
      <c r="AI18" s="75">
        <f t="shared" si="3"/>
        <v>0</v>
      </c>
      <c r="AJ18" s="75">
        <f t="shared" si="3"/>
        <v>0</v>
      </c>
      <c r="AK18" s="75">
        <f t="shared" si="4"/>
        <v>-250000</v>
      </c>
      <c r="AL18" s="75">
        <f t="shared" si="5"/>
        <v>-250000</v>
      </c>
    </row>
    <row r="19" spans="1:39" s="58" customFormat="1" ht="25.5" x14ac:dyDescent="0.2">
      <c r="A19" s="226" t="s">
        <v>122</v>
      </c>
      <c r="B19" s="142" t="s">
        <v>158</v>
      </c>
      <c r="C19" s="225"/>
      <c r="D19" s="225"/>
      <c r="E19" s="147" t="s">
        <v>157</v>
      </c>
      <c r="F19" s="61">
        <v>28501</v>
      </c>
      <c r="G19" s="63">
        <v>42388</v>
      </c>
      <c r="H19" s="103" t="s">
        <v>90</v>
      </c>
      <c r="I19" s="65"/>
      <c r="J19" s="61" t="s">
        <v>123</v>
      </c>
      <c r="K19" s="63">
        <v>42389</v>
      </c>
      <c r="L19" s="153" t="s">
        <v>90</v>
      </c>
      <c r="M19" s="65"/>
      <c r="N19" s="66">
        <v>2017</v>
      </c>
      <c r="O19" s="66">
        <v>2030</v>
      </c>
      <c r="P19" s="98">
        <v>325</v>
      </c>
      <c r="Q19" s="68">
        <v>50000</v>
      </c>
      <c r="R19" s="69" t="s">
        <v>194</v>
      </c>
      <c r="S19" s="70">
        <v>48000000</v>
      </c>
      <c r="T19" s="70"/>
      <c r="U19" s="329">
        <v>3370015</v>
      </c>
      <c r="V19" s="65"/>
      <c r="W19" s="189">
        <f t="shared" ref="W19:Y19" si="21">+$U19*W$1/100</f>
        <v>76735.241550000006</v>
      </c>
      <c r="X19" s="189">
        <f t="shared" si="21"/>
        <v>51052.357234999996</v>
      </c>
      <c r="Y19" s="189">
        <f t="shared" si="21"/>
        <v>42135.297545000001</v>
      </c>
      <c r="Z19" s="189">
        <f t="shared" ref="Z19" si="22">+W19+X19+Y19</f>
        <v>169922.89633000002</v>
      </c>
      <c r="AA19" s="65"/>
      <c r="AB19" s="282">
        <f>W19*0.716</f>
        <v>54942.432949800001</v>
      </c>
      <c r="AC19" s="73">
        <f>X19*0.716</f>
        <v>36553.487780259995</v>
      </c>
      <c r="AD19" s="73">
        <f>Y19</f>
        <v>42135.297545000001</v>
      </c>
      <c r="AE19" s="281">
        <f>W19*0.15</f>
        <v>11510.286232500001</v>
      </c>
      <c r="AF19" s="73">
        <f>SUM(AB19:AE19)</f>
        <v>145141.50450755999</v>
      </c>
      <c r="AG19" s="259"/>
      <c r="AH19" s="191">
        <f t="shared" ref="AH19" si="23">+W19-AB19</f>
        <v>21792.808600200005</v>
      </c>
      <c r="AI19" s="190">
        <f t="shared" ref="AI19:AJ19" si="24">+X19-AC19</f>
        <v>14498.869454740001</v>
      </c>
      <c r="AJ19" s="190">
        <f t="shared" si="24"/>
        <v>0</v>
      </c>
      <c r="AK19" s="190">
        <f t="shared" ref="AK19" si="25">-AE19</f>
        <v>-11510.286232500001</v>
      </c>
      <c r="AL19" s="190">
        <f t="shared" ref="AL19" si="26">+Z19-AF19</f>
        <v>24781.391822440026</v>
      </c>
    </row>
    <row r="20" spans="1:39" s="119" customFormat="1" ht="38.25" customHeight="1" x14ac:dyDescent="0.25">
      <c r="A20" s="265" t="s">
        <v>56</v>
      </c>
      <c r="B20" s="111"/>
      <c r="C20" s="111"/>
      <c r="D20" s="111"/>
      <c r="E20" s="111"/>
      <c r="F20" s="111"/>
      <c r="G20" s="112"/>
      <c r="H20" s="112"/>
      <c r="I20" s="113"/>
      <c r="J20" s="111"/>
      <c r="K20" s="112"/>
      <c r="L20" s="112"/>
      <c r="M20" s="113"/>
      <c r="N20" s="111"/>
      <c r="O20" s="111"/>
      <c r="P20" s="111"/>
      <c r="Q20" s="114"/>
      <c r="R20" s="115"/>
      <c r="S20" s="113"/>
      <c r="T20" s="113"/>
      <c r="U20" s="244"/>
      <c r="V20" s="113"/>
      <c r="W20" s="116"/>
      <c r="X20" s="116"/>
      <c r="Y20" s="116"/>
      <c r="Z20" s="113"/>
      <c r="AA20" s="113"/>
      <c r="AB20" s="116"/>
      <c r="AC20" s="116"/>
      <c r="AD20" s="305"/>
      <c r="AE20" s="117"/>
      <c r="AF20" s="113"/>
      <c r="AG20" s="113"/>
      <c r="AH20" s="113"/>
      <c r="AI20" s="113"/>
      <c r="AJ20" s="113"/>
      <c r="AK20" s="113"/>
      <c r="AL20" s="113"/>
      <c r="AM20" s="118"/>
    </row>
    <row r="21" spans="1:39" s="58" customFormat="1" ht="25.5" customHeight="1" x14ac:dyDescent="0.2">
      <c r="A21" s="398" t="s">
        <v>99</v>
      </c>
      <c r="B21" s="366" t="s">
        <v>12</v>
      </c>
      <c r="C21" s="61">
        <v>35.074481900000002</v>
      </c>
      <c r="D21" s="61">
        <v>-85.156702999999993</v>
      </c>
      <c r="E21" s="367" t="s">
        <v>176</v>
      </c>
      <c r="F21" s="368">
        <v>26356</v>
      </c>
      <c r="G21" s="369">
        <v>40365</v>
      </c>
      <c r="H21" s="415" t="s">
        <v>90</v>
      </c>
      <c r="I21" s="124"/>
      <c r="J21" s="125" t="s">
        <v>111</v>
      </c>
      <c r="K21" s="126">
        <v>40129</v>
      </c>
      <c r="L21" s="239" t="s">
        <v>90</v>
      </c>
      <c r="M21" s="124"/>
      <c r="N21" s="399">
        <v>2011</v>
      </c>
      <c r="O21" s="399">
        <v>2024</v>
      </c>
      <c r="P21" s="401">
        <v>230</v>
      </c>
      <c r="Q21" s="403">
        <v>38247</v>
      </c>
      <c r="R21" s="128"/>
      <c r="S21" s="405">
        <v>90300000</v>
      </c>
      <c r="T21" s="70"/>
      <c r="U21" s="407">
        <f>27331560+2962081</f>
        <v>30293641</v>
      </c>
      <c r="V21" s="124"/>
      <c r="W21" s="379">
        <f t="shared" ref="W21:Y32" si="27">+$U21*W$1/100</f>
        <v>689786.20557000011</v>
      </c>
      <c r="X21" s="379">
        <f t="shared" si="27"/>
        <v>458918.367509</v>
      </c>
      <c r="Y21" s="379">
        <f t="shared" si="27"/>
        <v>378761.393423</v>
      </c>
      <c r="Z21" s="379">
        <f t="shared" ref="Z21:Z32" si="28">+W21+X21+Y21</f>
        <v>1527465.9665020001</v>
      </c>
      <c r="AA21" s="124"/>
      <c r="AB21" s="410">
        <f>329389.36+35697.85</f>
        <v>365087.20999999996</v>
      </c>
      <c r="AC21" s="417">
        <f>219144.46+23749.97</f>
        <v>242894.43</v>
      </c>
      <c r="AD21" s="362">
        <f>Y21</f>
        <v>378761.393423</v>
      </c>
      <c r="AE21" s="362"/>
      <c r="AF21" s="362">
        <f t="shared" ref="AF21:AF26" si="29">+AB21+AC21+AD21+AE21</f>
        <v>986743.0334229999</v>
      </c>
      <c r="AG21" s="263"/>
      <c r="AH21" s="364">
        <f t="shared" ref="AH21:AJ21" si="30">+W21-AB21</f>
        <v>324698.99557000014</v>
      </c>
      <c r="AI21" s="358">
        <f t="shared" si="30"/>
        <v>216023.93750900001</v>
      </c>
      <c r="AJ21" s="358">
        <f t="shared" si="30"/>
        <v>0</v>
      </c>
      <c r="AK21" s="358">
        <f t="shared" ref="AK21" si="31">-AE21</f>
        <v>0</v>
      </c>
      <c r="AL21" s="358">
        <f t="shared" ref="AL21" si="32">+Z21-AF21</f>
        <v>540722.93307900021</v>
      </c>
      <c r="AM21" s="106"/>
    </row>
    <row r="22" spans="1:39" s="58" customFormat="1" ht="25.5" customHeight="1" x14ac:dyDescent="0.2">
      <c r="A22" s="398"/>
      <c r="B22" s="366"/>
      <c r="C22" s="61"/>
      <c r="D22" s="61"/>
      <c r="E22" s="367"/>
      <c r="F22" s="413"/>
      <c r="G22" s="414"/>
      <c r="H22" s="416"/>
      <c r="I22" s="85"/>
      <c r="J22" s="82" t="s">
        <v>110</v>
      </c>
      <c r="K22" s="229">
        <v>40366</v>
      </c>
      <c r="L22" s="241" t="s">
        <v>90</v>
      </c>
      <c r="M22" s="85"/>
      <c r="N22" s="400"/>
      <c r="O22" s="400"/>
      <c r="P22" s="402"/>
      <c r="Q22" s="404"/>
      <c r="R22" s="160"/>
      <c r="S22" s="406"/>
      <c r="T22" s="284"/>
      <c r="U22" s="408"/>
      <c r="V22" s="85"/>
      <c r="W22" s="409"/>
      <c r="X22" s="409"/>
      <c r="Y22" s="409"/>
      <c r="Z22" s="409"/>
      <c r="AA22" s="85"/>
      <c r="AB22" s="411"/>
      <c r="AC22" s="418"/>
      <c r="AD22" s="419"/>
      <c r="AE22" s="419"/>
      <c r="AF22" s="419"/>
      <c r="AG22" s="85"/>
      <c r="AH22" s="420"/>
      <c r="AI22" s="412"/>
      <c r="AJ22" s="412"/>
      <c r="AK22" s="412"/>
      <c r="AL22" s="412"/>
      <c r="AM22" s="106"/>
    </row>
    <row r="23" spans="1:39" s="58" customFormat="1" ht="25.5" customHeight="1" x14ac:dyDescent="0.2">
      <c r="A23" s="370" t="s">
        <v>184</v>
      </c>
      <c r="B23" s="370" t="s">
        <v>115</v>
      </c>
      <c r="C23" s="283"/>
      <c r="D23" s="283"/>
      <c r="E23" s="373" t="s">
        <v>187</v>
      </c>
      <c r="F23" s="81">
        <v>28301</v>
      </c>
      <c r="G23" s="83">
        <v>42185</v>
      </c>
      <c r="H23" s="287" t="s">
        <v>90</v>
      </c>
      <c r="I23" s="85"/>
      <c r="J23" s="82" t="s">
        <v>107</v>
      </c>
      <c r="K23" s="229">
        <v>42186</v>
      </c>
      <c r="L23" s="241" t="s">
        <v>90</v>
      </c>
      <c r="M23" s="85"/>
      <c r="N23" s="376">
        <v>2017</v>
      </c>
      <c r="O23" s="376">
        <v>2029</v>
      </c>
      <c r="P23" s="424">
        <f>374+150</f>
        <v>524</v>
      </c>
      <c r="Q23" s="385"/>
      <c r="R23" s="426" t="s">
        <v>201</v>
      </c>
      <c r="S23" s="387">
        <f>140900000+48000000</f>
        <v>188900000</v>
      </c>
      <c r="T23" s="285"/>
      <c r="U23" s="389">
        <f>4659520+5125920+8415319+14371945</f>
        <v>32572704</v>
      </c>
      <c r="V23" s="85"/>
      <c r="W23" s="421">
        <f t="shared" si="27"/>
        <v>741680.47008</v>
      </c>
      <c r="X23" s="421">
        <f t="shared" si="27"/>
        <v>493443.892896</v>
      </c>
      <c r="Y23" s="421">
        <f t="shared" si="27"/>
        <v>407256.51811200002</v>
      </c>
      <c r="Z23" s="421">
        <f t="shared" ref="Z23" si="33">+W23+X23+Y23</f>
        <v>1642380.881088</v>
      </c>
      <c r="AA23" s="230"/>
      <c r="AB23" s="356">
        <f>W23*0.4</f>
        <v>296672.18803200003</v>
      </c>
      <c r="AC23" s="381">
        <f>X23*0.5</f>
        <v>246721.946448</v>
      </c>
      <c r="AD23" s="359">
        <f>Y23</f>
        <v>407256.51811200002</v>
      </c>
      <c r="AE23" s="359">
        <f>SUM(X23:Y24)*0.1253+SUM(W23*0.15)</f>
        <v>224109.83201130241</v>
      </c>
      <c r="AF23" s="422">
        <f t="shared" si="29"/>
        <v>1174760.4846033026</v>
      </c>
      <c r="AG23" s="230"/>
      <c r="AH23" s="423">
        <f t="shared" ref="AH23" si="34">+W23-AB23</f>
        <v>445008.28204799996</v>
      </c>
      <c r="AI23" s="354">
        <f t="shared" ref="AI23" si="35">+X23-AC23</f>
        <v>246721.946448</v>
      </c>
      <c r="AJ23" s="354">
        <f t="shared" ref="AJ23" si="36">+Y23-AD23</f>
        <v>0</v>
      </c>
      <c r="AK23" s="354">
        <f t="shared" ref="AK23" si="37">-AE23</f>
        <v>-224109.83201130241</v>
      </c>
      <c r="AL23" s="354">
        <f t="shared" ref="AL23" si="38">+Z23-AF23</f>
        <v>467620.39648469747</v>
      </c>
      <c r="AM23" s="106"/>
    </row>
    <row r="24" spans="1:39" s="58" customFormat="1" ht="25.5" customHeight="1" x14ac:dyDescent="0.2">
      <c r="A24" s="371"/>
      <c r="B24" s="371"/>
      <c r="C24" s="283"/>
      <c r="D24" s="283"/>
      <c r="E24" s="374"/>
      <c r="F24" s="81">
        <v>28424</v>
      </c>
      <c r="G24" s="83">
        <v>42290</v>
      </c>
      <c r="H24" s="287" t="s">
        <v>90</v>
      </c>
      <c r="I24" s="85"/>
      <c r="J24" s="82" t="s">
        <v>114</v>
      </c>
      <c r="K24" s="229">
        <v>42283</v>
      </c>
      <c r="L24" s="241" t="s">
        <v>90</v>
      </c>
      <c r="M24" s="85"/>
      <c r="N24" s="376"/>
      <c r="O24" s="376"/>
      <c r="P24" s="424"/>
      <c r="Q24" s="385"/>
      <c r="R24" s="426"/>
      <c r="S24" s="387"/>
      <c r="T24" s="284"/>
      <c r="U24" s="389"/>
      <c r="V24" s="85"/>
      <c r="W24" s="421"/>
      <c r="X24" s="421"/>
      <c r="Y24" s="421"/>
      <c r="Z24" s="421"/>
      <c r="AA24" s="230"/>
      <c r="AB24" s="356"/>
      <c r="AC24" s="381"/>
      <c r="AD24" s="359"/>
      <c r="AE24" s="359"/>
      <c r="AF24" s="422"/>
      <c r="AG24" s="230"/>
      <c r="AH24" s="423"/>
      <c r="AI24" s="354"/>
      <c r="AJ24" s="354"/>
      <c r="AK24" s="354"/>
      <c r="AL24" s="354"/>
      <c r="AM24" s="106"/>
    </row>
    <row r="25" spans="1:39" s="58" customFormat="1" ht="25.5" customHeight="1" x14ac:dyDescent="0.2">
      <c r="A25" s="372"/>
      <c r="B25" s="372"/>
      <c r="C25" s="283"/>
      <c r="D25" s="283"/>
      <c r="E25" s="375"/>
      <c r="F25" s="42">
        <v>29847</v>
      </c>
      <c r="G25" s="44">
        <v>43543</v>
      </c>
      <c r="H25" s="136" t="s">
        <v>90</v>
      </c>
      <c r="I25" s="286"/>
      <c r="J25" s="43" t="s">
        <v>200</v>
      </c>
      <c r="K25" s="135">
        <v>43544</v>
      </c>
      <c r="L25" s="240" t="s">
        <v>90</v>
      </c>
      <c r="M25" s="286"/>
      <c r="N25" s="377"/>
      <c r="O25" s="377"/>
      <c r="P25" s="425"/>
      <c r="Q25" s="386"/>
      <c r="R25" s="427"/>
      <c r="S25" s="388"/>
      <c r="T25" s="285"/>
      <c r="U25" s="390"/>
      <c r="V25" s="286"/>
      <c r="W25" s="378"/>
      <c r="X25" s="378"/>
      <c r="Y25" s="378"/>
      <c r="Z25" s="378"/>
      <c r="AA25" s="137"/>
      <c r="AB25" s="357"/>
      <c r="AC25" s="382"/>
      <c r="AD25" s="360"/>
      <c r="AE25" s="360"/>
      <c r="AF25" s="361"/>
      <c r="AG25" s="137"/>
      <c r="AH25" s="363"/>
      <c r="AI25" s="355"/>
      <c r="AJ25" s="355"/>
      <c r="AK25" s="355"/>
      <c r="AL25" s="355"/>
      <c r="AM25" s="106"/>
    </row>
    <row r="26" spans="1:39" s="58" customFormat="1" ht="25.5" customHeight="1" x14ac:dyDescent="0.2">
      <c r="A26" s="371" t="s">
        <v>179</v>
      </c>
      <c r="B26" s="371" t="s">
        <v>180</v>
      </c>
      <c r="C26" s="293"/>
      <c r="D26" s="293"/>
      <c r="E26" s="374" t="s">
        <v>220</v>
      </c>
      <c r="F26" s="81">
        <v>29248</v>
      </c>
      <c r="G26" s="83">
        <v>43060</v>
      </c>
      <c r="H26" s="287" t="s">
        <v>90</v>
      </c>
      <c r="I26" s="85"/>
      <c r="J26" s="82" t="s">
        <v>181</v>
      </c>
      <c r="K26" s="229">
        <v>43054</v>
      </c>
      <c r="L26" s="280" t="s">
        <v>90</v>
      </c>
      <c r="M26" s="85"/>
      <c r="N26" s="376">
        <v>2019</v>
      </c>
      <c r="O26" s="376">
        <v>2025</v>
      </c>
      <c r="P26" s="383">
        <v>110</v>
      </c>
      <c r="Q26" s="385"/>
      <c r="R26" s="160"/>
      <c r="S26" s="387">
        <v>42700000</v>
      </c>
      <c r="T26" s="285"/>
      <c r="U26" s="389">
        <f>1256120+1061840+3017383+2471576</f>
        <v>7806919</v>
      </c>
      <c r="V26" s="85"/>
      <c r="W26" s="378">
        <f t="shared" si="27"/>
        <v>177763.54563000001</v>
      </c>
      <c r="X26" s="378">
        <f t="shared" si="27"/>
        <v>118267.015931</v>
      </c>
      <c r="Y26" s="378">
        <f t="shared" si="27"/>
        <v>97609.908257000003</v>
      </c>
      <c r="Z26" s="378">
        <f t="shared" ref="Z26" si="39">+W26+X26+Y26</f>
        <v>393640.46981799998</v>
      </c>
      <c r="AA26" s="230"/>
      <c r="AB26" s="357">
        <f>W26*0.25</f>
        <v>44440.886407500002</v>
      </c>
      <c r="AC26" s="381">
        <f>X26*0.25</f>
        <v>29566.75398275</v>
      </c>
      <c r="AD26" s="359">
        <f>Y26</f>
        <v>97609.908257000003</v>
      </c>
      <c r="AE26" s="359">
        <f>SUM(X26)*0.15+SUM(W26*0.15)</f>
        <v>44404.584234149996</v>
      </c>
      <c r="AF26" s="361">
        <f t="shared" si="29"/>
        <v>216022.1328814</v>
      </c>
      <c r="AG26" s="230"/>
      <c r="AH26" s="363">
        <f t="shared" ref="AH26" si="40">+W26-AB26</f>
        <v>133322.65922249999</v>
      </c>
      <c r="AI26" s="355">
        <f t="shared" ref="AI26" si="41">+X26-AC26</f>
        <v>88700.261948250001</v>
      </c>
      <c r="AJ26" s="355">
        <f t="shared" ref="AJ26" si="42">+Y26-AD26</f>
        <v>0</v>
      </c>
      <c r="AK26" s="355">
        <f t="shared" ref="AK26" si="43">-AE26</f>
        <v>-44404.584234149996</v>
      </c>
      <c r="AL26" s="355">
        <f t="shared" ref="AL26" si="44">+Z26-AF26</f>
        <v>177618.33693659998</v>
      </c>
      <c r="AM26" s="106"/>
    </row>
    <row r="27" spans="1:39" s="58" customFormat="1" ht="25.5" customHeight="1" x14ac:dyDescent="0.2">
      <c r="A27" s="372"/>
      <c r="B27" s="372"/>
      <c r="C27" s="292"/>
      <c r="D27" s="292"/>
      <c r="E27" s="375"/>
      <c r="F27" s="42"/>
      <c r="G27" s="44"/>
      <c r="H27" s="136"/>
      <c r="I27" s="136"/>
      <c r="J27" s="136"/>
      <c r="K27" s="136"/>
      <c r="L27" s="136"/>
      <c r="M27" s="136"/>
      <c r="N27" s="377"/>
      <c r="O27" s="377"/>
      <c r="P27" s="384"/>
      <c r="Q27" s="386"/>
      <c r="R27" s="136"/>
      <c r="S27" s="388"/>
      <c r="T27" s="228"/>
      <c r="U27" s="390"/>
      <c r="V27" s="85"/>
      <c r="W27" s="379"/>
      <c r="X27" s="379"/>
      <c r="Y27" s="379"/>
      <c r="Z27" s="379"/>
      <c r="AA27" s="230"/>
      <c r="AB27" s="380"/>
      <c r="AC27" s="382"/>
      <c r="AD27" s="360"/>
      <c r="AE27" s="360">
        <f t="shared" ref="AE27" si="45">SUM(X27*0.15)+SUM(W27*0.15)</f>
        <v>0</v>
      </c>
      <c r="AF27" s="362"/>
      <c r="AG27" s="230"/>
      <c r="AH27" s="364"/>
      <c r="AI27" s="358"/>
      <c r="AJ27" s="358"/>
      <c r="AK27" s="358"/>
      <c r="AL27" s="358"/>
      <c r="AM27" s="106"/>
    </row>
    <row r="28" spans="1:39" s="58" customFormat="1" ht="25.5" customHeight="1" x14ac:dyDescent="0.2">
      <c r="A28" s="347" t="s">
        <v>222</v>
      </c>
      <c r="B28" s="347"/>
      <c r="C28" s="348"/>
      <c r="D28" s="348"/>
      <c r="E28" s="349"/>
      <c r="F28" s="42"/>
      <c r="G28" s="44"/>
      <c r="H28" s="136"/>
      <c r="I28" s="337"/>
      <c r="J28" s="82" t="s">
        <v>223</v>
      </c>
      <c r="K28" s="229">
        <v>44062</v>
      </c>
      <c r="L28" s="241" t="s">
        <v>90</v>
      </c>
      <c r="M28" s="337"/>
      <c r="N28" s="341"/>
      <c r="O28" s="341"/>
      <c r="P28" s="346">
        <v>125</v>
      </c>
      <c r="Q28" s="342">
        <v>48000</v>
      </c>
      <c r="R28" s="343"/>
      <c r="S28" s="344">
        <v>75000000</v>
      </c>
      <c r="T28" s="332"/>
      <c r="U28" s="338"/>
      <c r="V28" s="337"/>
      <c r="W28" s="333"/>
      <c r="X28" s="333"/>
      <c r="Y28" s="333"/>
      <c r="Z28" s="333"/>
      <c r="AA28" s="230"/>
      <c r="AB28" s="345"/>
      <c r="AC28" s="339"/>
      <c r="AD28" s="340"/>
      <c r="AE28" s="340"/>
      <c r="AF28" s="334"/>
      <c r="AG28" s="230"/>
      <c r="AH28" s="336"/>
      <c r="AI28" s="335"/>
      <c r="AJ28" s="335"/>
      <c r="AK28" s="335"/>
      <c r="AL28" s="335"/>
      <c r="AM28" s="106"/>
    </row>
    <row r="29" spans="1:39" s="58" customFormat="1" ht="25.5" customHeight="1" x14ac:dyDescent="0.2">
      <c r="A29" s="365" t="s">
        <v>20</v>
      </c>
      <c r="B29" s="366" t="s">
        <v>21</v>
      </c>
      <c r="C29" s="61">
        <v>35.072987400000002</v>
      </c>
      <c r="D29" s="61">
        <v>-85.275501800000001</v>
      </c>
      <c r="E29" s="367" t="s">
        <v>81</v>
      </c>
      <c r="F29" s="368">
        <v>25672</v>
      </c>
      <c r="G29" s="369">
        <v>39721</v>
      </c>
      <c r="H29" s="428" t="s">
        <v>90</v>
      </c>
      <c r="I29" s="124"/>
      <c r="J29" s="126" t="s">
        <v>113</v>
      </c>
      <c r="K29" s="126">
        <v>39526</v>
      </c>
      <c r="L29" s="239" t="s">
        <v>90</v>
      </c>
      <c r="M29" s="124"/>
      <c r="N29" s="399">
        <v>2009</v>
      </c>
      <c r="O29" s="399">
        <v>2019</v>
      </c>
      <c r="P29" s="401">
        <v>52</v>
      </c>
      <c r="Q29" s="403">
        <v>85000</v>
      </c>
      <c r="R29" s="128"/>
      <c r="S29" s="405">
        <f>16700000+4500000</f>
        <v>21200000</v>
      </c>
      <c r="T29" s="70"/>
      <c r="U29" s="407">
        <f>2134840+1499000+363797</f>
        <v>3997637</v>
      </c>
      <c r="V29" s="124"/>
      <c r="W29" s="379">
        <f t="shared" si="27"/>
        <v>91026.194490000009</v>
      </c>
      <c r="X29" s="379">
        <f t="shared" si="27"/>
        <v>60560.202912999994</v>
      </c>
      <c r="Y29" s="379">
        <f>ROUND(+$U29*Y$1/100,0)</f>
        <v>49982</v>
      </c>
      <c r="Z29" s="379">
        <f t="shared" si="28"/>
        <v>201568.39740300001</v>
      </c>
      <c r="AA29" s="124"/>
      <c r="AB29" s="410">
        <f>24305.16+34132.23+4141.83</f>
        <v>62579.22</v>
      </c>
      <c r="AC29" s="417">
        <f>16170.35+2755.58+41450.35*X1/(X1+Y1)</f>
        <v>41634.282095689283</v>
      </c>
      <c r="AD29" s="429">
        <f>ROUND(26691.9+4548.55+41450.35*Y1/(X1+Y1),0)</f>
        <v>49982</v>
      </c>
      <c r="AE29" s="362"/>
      <c r="AF29" s="362">
        <f>+AB29+AC29+AD29+AE29</f>
        <v>154195.5020956893</v>
      </c>
      <c r="AG29" s="263"/>
      <c r="AH29" s="364">
        <f t="shared" ref="AH29:AJ32" si="46">+W29-AB29</f>
        <v>28446.974490000008</v>
      </c>
      <c r="AI29" s="358">
        <f t="shared" si="46"/>
        <v>18925.920817310711</v>
      </c>
      <c r="AJ29" s="431">
        <f t="shared" si="46"/>
        <v>0</v>
      </c>
      <c r="AK29" s="358">
        <f>-AE29</f>
        <v>0</v>
      </c>
      <c r="AL29" s="358">
        <f>+Z29-AF29</f>
        <v>47372.895307310711</v>
      </c>
      <c r="AM29" s="141"/>
    </row>
    <row r="30" spans="1:39" s="58" customFormat="1" ht="25.5" customHeight="1" x14ac:dyDescent="0.2">
      <c r="A30" s="365"/>
      <c r="B30" s="366"/>
      <c r="C30" s="61"/>
      <c r="D30" s="61"/>
      <c r="E30" s="367"/>
      <c r="F30" s="368"/>
      <c r="G30" s="369"/>
      <c r="H30" s="428"/>
      <c r="I30" s="46"/>
      <c r="J30" s="135" t="s">
        <v>112</v>
      </c>
      <c r="K30" s="135">
        <v>39708</v>
      </c>
      <c r="L30" s="240" t="s">
        <v>90</v>
      </c>
      <c r="M30" s="46"/>
      <c r="N30" s="399"/>
      <c r="O30" s="399"/>
      <c r="P30" s="401"/>
      <c r="Q30" s="403"/>
      <c r="R30" s="50"/>
      <c r="S30" s="405"/>
      <c r="T30" s="70"/>
      <c r="U30" s="407"/>
      <c r="V30" s="46"/>
      <c r="W30" s="379"/>
      <c r="X30" s="379"/>
      <c r="Y30" s="379"/>
      <c r="Z30" s="379"/>
      <c r="AA30" s="46"/>
      <c r="AB30" s="410"/>
      <c r="AC30" s="417"/>
      <c r="AD30" s="429"/>
      <c r="AE30" s="362"/>
      <c r="AF30" s="362"/>
      <c r="AG30" s="264"/>
      <c r="AH30" s="364"/>
      <c r="AI30" s="358"/>
      <c r="AJ30" s="431"/>
      <c r="AK30" s="358"/>
      <c r="AL30" s="358"/>
      <c r="AM30" s="141"/>
    </row>
    <row r="31" spans="1:39" s="58" customFormat="1" ht="25.5" customHeight="1" x14ac:dyDescent="0.2">
      <c r="A31" s="59" t="s">
        <v>22</v>
      </c>
      <c r="B31" s="60" t="s">
        <v>23</v>
      </c>
      <c r="C31" s="61">
        <v>35.057448999999998</v>
      </c>
      <c r="D31" s="61">
        <v>-85.196417699999998</v>
      </c>
      <c r="E31" s="62" t="s">
        <v>208</v>
      </c>
      <c r="F31" s="61">
        <v>24923</v>
      </c>
      <c r="G31" s="63">
        <v>39014</v>
      </c>
      <c r="H31" s="64" t="s">
        <v>90</v>
      </c>
      <c r="I31" s="65"/>
      <c r="J31" s="61" t="s">
        <v>71</v>
      </c>
      <c r="K31" s="63">
        <v>39008</v>
      </c>
      <c r="L31" s="155" t="s">
        <v>90</v>
      </c>
      <c r="M31" s="65"/>
      <c r="N31" s="66">
        <v>2007</v>
      </c>
      <c r="O31" s="66">
        <v>2018</v>
      </c>
      <c r="P31" s="98">
        <v>150</v>
      </c>
      <c r="Q31" s="68">
        <v>49000</v>
      </c>
      <c r="R31" s="69"/>
      <c r="S31" s="70">
        <f>18000000+5000000</f>
        <v>23000000</v>
      </c>
      <c r="T31" s="70"/>
      <c r="U31" s="329">
        <v>1096120</v>
      </c>
      <c r="V31" s="65"/>
      <c r="W31" s="71">
        <f t="shared" si="27"/>
        <v>24958.652400000003</v>
      </c>
      <c r="X31" s="71">
        <f t="shared" si="27"/>
        <v>16605.121879999999</v>
      </c>
      <c r="Y31" s="71">
        <f t="shared" si="27"/>
        <v>13704.788359999999</v>
      </c>
      <c r="Z31" s="71">
        <f t="shared" si="28"/>
        <v>55268.562639999996</v>
      </c>
      <c r="AA31" s="65"/>
      <c r="AB31" s="78">
        <f>W31</f>
        <v>24958.652400000003</v>
      </c>
      <c r="AC31" s="77">
        <f>X31</f>
        <v>16605.121879999999</v>
      </c>
      <c r="AD31" s="77">
        <f>Y31</f>
        <v>13704.788359999999</v>
      </c>
      <c r="AE31" s="73"/>
      <c r="AF31" s="73">
        <f>+AB31+AC31+AD31+AE31</f>
        <v>55268.562639999996</v>
      </c>
      <c r="AG31" s="259"/>
      <c r="AH31" s="74">
        <f t="shared" si="46"/>
        <v>0</v>
      </c>
      <c r="AI31" s="75">
        <f t="shared" si="46"/>
        <v>0</v>
      </c>
      <c r="AJ31" s="75">
        <f t="shared" si="46"/>
        <v>0</v>
      </c>
      <c r="AK31" s="75">
        <f>-AE31</f>
        <v>0</v>
      </c>
      <c r="AL31" s="75">
        <f>+Z31-AF31</f>
        <v>0</v>
      </c>
      <c r="AM31" s="141"/>
    </row>
    <row r="32" spans="1:39" s="58" customFormat="1" ht="26.25" customHeight="1" x14ac:dyDescent="0.2">
      <c r="A32" s="59" t="s">
        <v>22</v>
      </c>
      <c r="B32" s="60" t="s">
        <v>23</v>
      </c>
      <c r="C32" s="61"/>
      <c r="D32" s="61"/>
      <c r="E32" s="62" t="s">
        <v>82</v>
      </c>
      <c r="F32" s="61">
        <v>26441</v>
      </c>
      <c r="G32" s="63">
        <v>40442</v>
      </c>
      <c r="H32" s="64" t="s">
        <v>90</v>
      </c>
      <c r="I32" s="65"/>
      <c r="J32" s="61" t="s">
        <v>70</v>
      </c>
      <c r="K32" s="63">
        <v>40457</v>
      </c>
      <c r="L32" s="155" t="s">
        <v>90</v>
      </c>
      <c r="M32" s="65"/>
      <c r="N32" s="66">
        <v>2011</v>
      </c>
      <c r="O32" s="66">
        <v>2023</v>
      </c>
      <c r="P32" s="98">
        <v>54</v>
      </c>
      <c r="Q32" s="68">
        <v>69500</v>
      </c>
      <c r="R32" s="69"/>
      <c r="S32" s="70">
        <f>18800000+4300000</f>
        <v>23100000</v>
      </c>
      <c r="T32" s="70"/>
      <c r="U32" s="329">
        <f>757800+397582</f>
        <v>1155382</v>
      </c>
      <c r="V32" s="65"/>
      <c r="W32" s="71">
        <f t="shared" si="27"/>
        <v>26308.048140000003</v>
      </c>
      <c r="X32" s="71">
        <f t="shared" si="27"/>
        <v>17502.881917999999</v>
      </c>
      <c r="Y32" s="71">
        <f>ROUND(+$U32*Y$1/100,2)</f>
        <v>14445.74</v>
      </c>
      <c r="Z32" s="71">
        <f t="shared" si="28"/>
        <v>58256.670057999996</v>
      </c>
      <c r="AA32" s="65"/>
      <c r="AB32" s="72">
        <v>0</v>
      </c>
      <c r="AC32" s="73">
        <v>0</v>
      </c>
      <c r="AD32" s="73">
        <f>Y32</f>
        <v>14445.74</v>
      </c>
      <c r="AE32" s="73"/>
      <c r="AF32" s="73">
        <f>+AB32+AC32+AD32+AE32</f>
        <v>14445.74</v>
      </c>
      <c r="AG32" s="259"/>
      <c r="AH32" s="74">
        <f t="shared" si="46"/>
        <v>26308.048140000003</v>
      </c>
      <c r="AI32" s="75">
        <f t="shared" si="46"/>
        <v>17502.881917999999</v>
      </c>
      <c r="AJ32" s="75">
        <f t="shared" si="46"/>
        <v>0</v>
      </c>
      <c r="AK32" s="75">
        <f>-AE32</f>
        <v>0</v>
      </c>
      <c r="AL32" s="75">
        <f>+Z32-AF32</f>
        <v>43810.930057999998</v>
      </c>
    </row>
    <row r="33" spans="1:44" s="58" customFormat="1" ht="26.25" customHeight="1" x14ac:dyDescent="0.2">
      <c r="A33" s="59"/>
      <c r="B33" s="60"/>
      <c r="C33" s="61"/>
      <c r="D33" s="61"/>
      <c r="E33" s="62"/>
      <c r="F33" s="61"/>
      <c r="G33" s="63"/>
      <c r="H33" s="64"/>
      <c r="I33" s="65"/>
      <c r="J33" s="61"/>
      <c r="K33" s="63"/>
      <c r="L33" s="155"/>
      <c r="M33" s="65"/>
      <c r="N33" s="66"/>
      <c r="O33" s="66"/>
      <c r="P33" s="98"/>
      <c r="Q33" s="68"/>
      <c r="R33" s="69"/>
      <c r="S33" s="70"/>
      <c r="T33" s="70"/>
      <c r="U33" s="329"/>
      <c r="V33" s="65"/>
      <c r="W33" s="71"/>
      <c r="X33" s="71"/>
      <c r="Y33" s="71"/>
      <c r="Z33" s="71"/>
      <c r="AA33" s="65"/>
      <c r="AB33" s="72"/>
      <c r="AC33" s="73"/>
      <c r="AD33" s="73"/>
      <c r="AE33" s="73"/>
      <c r="AF33" s="73"/>
      <c r="AG33" s="259"/>
      <c r="AH33" s="74"/>
      <c r="AI33" s="75"/>
      <c r="AJ33" s="75"/>
      <c r="AK33" s="75"/>
      <c r="AL33" s="75"/>
    </row>
    <row r="34" spans="1:44" s="58" customFormat="1" ht="26.25" customHeight="1" x14ac:dyDescent="0.2">
      <c r="A34" s="59" t="s">
        <v>93</v>
      </c>
      <c r="B34" s="142" t="s">
        <v>91</v>
      </c>
      <c r="C34" s="60"/>
      <c r="D34" s="60"/>
      <c r="E34" s="62" t="s">
        <v>219</v>
      </c>
      <c r="F34" s="61">
        <v>293</v>
      </c>
      <c r="G34" s="63" t="s">
        <v>86</v>
      </c>
      <c r="H34" s="64" t="s">
        <v>90</v>
      </c>
      <c r="I34" s="65"/>
      <c r="J34" s="61" t="s">
        <v>60</v>
      </c>
      <c r="K34" s="63">
        <v>38903</v>
      </c>
      <c r="L34" s="155" t="s">
        <v>90</v>
      </c>
      <c r="M34" s="65"/>
      <c r="N34" s="66">
        <v>2009</v>
      </c>
      <c r="O34" s="330">
        <v>2019</v>
      </c>
      <c r="P34" s="60">
        <v>175</v>
      </c>
      <c r="Q34" s="143">
        <v>36800</v>
      </c>
      <c r="R34" s="144"/>
      <c r="S34" s="145">
        <f>17000000+58000000</f>
        <v>75000000</v>
      </c>
      <c r="T34" s="145"/>
      <c r="U34" s="329">
        <f>9622745+3115206</f>
        <v>12737951</v>
      </c>
      <c r="V34" s="65"/>
      <c r="W34" s="71">
        <f>+$U34*1.65/100</f>
        <v>210176.19149999999</v>
      </c>
      <c r="X34" s="71">
        <f>+$U34*X$1/100</f>
        <v>192967.21969899998</v>
      </c>
      <c r="Y34" s="71">
        <f>+$U34*Y$1/100</f>
        <v>159262.60135300001</v>
      </c>
      <c r="Z34" s="71">
        <f>+W34+X34+Y34</f>
        <v>562406.012552</v>
      </c>
      <c r="AA34" s="65"/>
      <c r="AB34" s="146">
        <f>W34</f>
        <v>210176.19149999999</v>
      </c>
      <c r="AC34" s="146">
        <f>X34</f>
        <v>192967.21969899998</v>
      </c>
      <c r="AD34" s="146">
        <f>Y34</f>
        <v>159262.60135300001</v>
      </c>
      <c r="AE34" s="261"/>
      <c r="AF34" s="73">
        <f>+AB34+AC34+AD34+AE34</f>
        <v>562406.012552</v>
      </c>
      <c r="AG34" s="259"/>
      <c r="AH34" s="74">
        <f t="shared" ref="AH34:AJ35" si="47">+W34-AB34</f>
        <v>0</v>
      </c>
      <c r="AI34" s="75">
        <f t="shared" si="47"/>
        <v>0</v>
      </c>
      <c r="AJ34" s="75">
        <f t="shared" si="47"/>
        <v>0</v>
      </c>
      <c r="AK34" s="75">
        <f>-AE34</f>
        <v>0</v>
      </c>
      <c r="AL34" s="75">
        <f>+Z34-AF34</f>
        <v>0</v>
      </c>
    </row>
    <row r="35" spans="1:44" s="58" customFormat="1" ht="26.25" customHeight="1" x14ac:dyDescent="0.2">
      <c r="A35" s="226" t="s">
        <v>93</v>
      </c>
      <c r="B35" s="142" t="s">
        <v>116</v>
      </c>
      <c r="C35" s="142"/>
      <c r="D35" s="142"/>
      <c r="E35" s="147" t="s">
        <v>178</v>
      </c>
      <c r="F35" s="61">
        <v>472</v>
      </c>
      <c r="G35" s="63">
        <v>42310</v>
      </c>
      <c r="H35" s="350" t="s">
        <v>90</v>
      </c>
      <c r="I35" s="65"/>
      <c r="J35" s="61" t="s">
        <v>117</v>
      </c>
      <c r="K35" s="63">
        <v>42305</v>
      </c>
      <c r="L35" s="153" t="s">
        <v>90</v>
      </c>
      <c r="M35" s="65"/>
      <c r="N35" s="66">
        <v>2017</v>
      </c>
      <c r="O35" s="66">
        <v>2026</v>
      </c>
      <c r="P35" s="138">
        <v>50</v>
      </c>
      <c r="Q35" s="143">
        <v>43843</v>
      </c>
      <c r="R35" s="144"/>
      <c r="S35" s="145">
        <v>102500000</v>
      </c>
      <c r="T35" s="145"/>
      <c r="U35" s="329">
        <f>21404868+5464280</f>
        <v>26869148</v>
      </c>
      <c r="V35" s="65"/>
      <c r="W35" s="219">
        <f>+$U35*1.65/100</f>
        <v>443340.94199999998</v>
      </c>
      <c r="X35" s="219">
        <f>+$U35*X$1/100</f>
        <v>407040.72305199993</v>
      </c>
      <c r="Y35" s="219">
        <f>+$U35*Y$1/100</f>
        <v>335944.957444</v>
      </c>
      <c r="Z35" s="219">
        <f>+W35+X35+Y35</f>
        <v>1186326.622496</v>
      </c>
      <c r="AA35" s="65"/>
      <c r="AB35" s="146">
        <f>W35*0.4</f>
        <v>177336.3768</v>
      </c>
      <c r="AC35" s="146">
        <f>X35*0.4</f>
        <v>162816.28922079998</v>
      </c>
      <c r="AD35" s="146">
        <f>Y35</f>
        <v>335944.957444</v>
      </c>
      <c r="AE35" s="261">
        <f>SUM(W35*0.15)+SUM(X35:Y35)*0.1253</f>
        <v>159597.24706614879</v>
      </c>
      <c r="AF35" s="221">
        <f>+AB35+AC35+AD35+AE35</f>
        <v>835694.87053094874</v>
      </c>
      <c r="AG35" s="259"/>
      <c r="AH35" s="222">
        <f t="shared" si="47"/>
        <v>266004.56519999995</v>
      </c>
      <c r="AI35" s="220">
        <f t="shared" si="47"/>
        <v>244224.43383119995</v>
      </c>
      <c r="AJ35" s="220">
        <f t="shared" si="47"/>
        <v>0</v>
      </c>
      <c r="AK35" s="220">
        <f>-AE35</f>
        <v>-159597.24706614879</v>
      </c>
      <c r="AL35" s="220">
        <f>+Z35-AF35</f>
        <v>350631.75196505128</v>
      </c>
    </row>
    <row r="36" spans="1:44" s="58" customFormat="1" ht="26.25" customHeight="1" x14ac:dyDescent="0.2">
      <c r="A36" s="325" t="s">
        <v>93</v>
      </c>
      <c r="B36" s="142" t="s">
        <v>214</v>
      </c>
      <c r="C36" s="142"/>
      <c r="D36" s="142"/>
      <c r="E36" s="147"/>
      <c r="F36" s="331">
        <v>514</v>
      </c>
      <c r="G36" s="101">
        <v>43927</v>
      </c>
      <c r="H36" s="153" t="s">
        <v>90</v>
      </c>
      <c r="I36" s="322"/>
      <c r="J36" s="323" t="s">
        <v>213</v>
      </c>
      <c r="K36" s="324">
        <v>43908</v>
      </c>
      <c r="L36" s="153" t="s">
        <v>90</v>
      </c>
      <c r="M36" s="322"/>
      <c r="N36" s="321">
        <v>2020</v>
      </c>
      <c r="O36" s="321">
        <v>2034</v>
      </c>
      <c r="P36" s="138">
        <v>482</v>
      </c>
      <c r="Q36" s="143">
        <v>45000</v>
      </c>
      <c r="R36" s="144" t="s">
        <v>215</v>
      </c>
      <c r="S36" s="145">
        <v>505000000</v>
      </c>
      <c r="T36" s="145"/>
      <c r="U36" s="329"/>
      <c r="V36" s="322"/>
      <c r="W36" s="317"/>
      <c r="X36" s="317"/>
      <c r="Y36" s="317"/>
      <c r="Z36" s="317"/>
      <c r="AA36" s="322"/>
      <c r="AB36" s="146"/>
      <c r="AC36" s="146"/>
      <c r="AD36" s="146"/>
      <c r="AE36" s="319"/>
      <c r="AF36" s="319"/>
      <c r="AG36" s="322"/>
      <c r="AH36" s="320"/>
      <c r="AI36" s="318"/>
      <c r="AJ36" s="318"/>
      <c r="AK36" s="318"/>
      <c r="AL36" s="318"/>
    </row>
    <row r="37" spans="1:44" s="19" customFormat="1" ht="38.25" customHeight="1" x14ac:dyDescent="0.25">
      <c r="A37" s="265" t="s">
        <v>55</v>
      </c>
      <c r="B37" s="266"/>
      <c r="C37" s="266"/>
      <c r="D37" s="266"/>
      <c r="E37" s="266"/>
      <c r="F37" s="267"/>
      <c r="G37" s="268"/>
      <c r="H37" s="268"/>
      <c r="I37" s="269"/>
      <c r="J37" s="266"/>
      <c r="K37" s="270"/>
      <c r="L37" s="271"/>
      <c r="M37" s="269"/>
      <c r="N37" s="266"/>
      <c r="O37" s="266"/>
      <c r="P37" s="266"/>
      <c r="Q37" s="272"/>
      <c r="R37" s="273"/>
      <c r="S37" s="269"/>
      <c r="T37" s="269"/>
      <c r="U37" s="274"/>
      <c r="V37" s="269"/>
      <c r="W37" s="275"/>
      <c r="X37" s="275"/>
      <c r="Y37" s="275"/>
      <c r="Z37" s="269"/>
      <c r="AA37" s="269"/>
      <c r="AB37" s="275"/>
      <c r="AC37" s="275"/>
      <c r="AD37" s="269"/>
      <c r="AE37" s="276"/>
      <c r="AF37" s="269"/>
      <c r="AG37" s="269"/>
      <c r="AH37" s="269"/>
      <c r="AI37" s="269"/>
      <c r="AJ37" s="269"/>
      <c r="AK37" s="269"/>
      <c r="AL37" s="269"/>
    </row>
    <row r="38" spans="1:44" s="151" customFormat="1" ht="37.15" customHeight="1" x14ac:dyDescent="0.2">
      <c r="A38" s="185" t="s">
        <v>209</v>
      </c>
      <c r="B38" s="147"/>
      <c r="C38" s="147"/>
      <c r="D38" s="147"/>
      <c r="E38" s="147" t="s">
        <v>155</v>
      </c>
      <c r="F38" s="61">
        <v>28256</v>
      </c>
      <c r="G38" s="63">
        <v>42164</v>
      </c>
      <c r="H38" s="103" t="s">
        <v>90</v>
      </c>
      <c r="I38" s="99"/>
      <c r="J38" s="147" t="s">
        <v>98</v>
      </c>
      <c r="K38" s="148">
        <v>42186</v>
      </c>
      <c r="L38" s="153" t="s">
        <v>90</v>
      </c>
      <c r="M38" s="99"/>
      <c r="N38" s="147">
        <v>2017</v>
      </c>
      <c r="O38" s="147">
        <v>2030</v>
      </c>
      <c r="P38" s="147"/>
      <c r="Q38" s="68"/>
      <c r="R38" s="149" t="s">
        <v>104</v>
      </c>
      <c r="S38" s="99"/>
      <c r="T38" s="99"/>
      <c r="U38" s="99">
        <f>10682320+75740</f>
        <v>10758060</v>
      </c>
      <c r="V38" s="99"/>
      <c r="W38" s="177">
        <f t="shared" ref="W38:Y53" si="48">+$U38*W$1/100</f>
        <v>244961.02620000002</v>
      </c>
      <c r="X38" s="177">
        <f t="shared" si="48"/>
        <v>162973.85093999997</v>
      </c>
      <c r="Y38" s="177">
        <f t="shared" si="48"/>
        <v>134508.02418000001</v>
      </c>
      <c r="Z38" s="177">
        <f t="shared" ref="Z38" si="49">+W38+X38+Y38</f>
        <v>542442.90131999995</v>
      </c>
      <c r="AA38" s="99"/>
      <c r="AB38" s="150">
        <v>0</v>
      </c>
      <c r="AC38" s="150">
        <v>0</v>
      </c>
      <c r="AD38" s="150">
        <f>Y38</f>
        <v>134508.02418000001</v>
      </c>
      <c r="AE38" s="150"/>
      <c r="AF38" s="179">
        <f t="shared" ref="AF38:AF53" si="50">+AB38+AC38+AD38+AE38</f>
        <v>134508.02418000001</v>
      </c>
      <c r="AG38" s="99"/>
      <c r="AH38" s="180">
        <f t="shared" ref="AH38" si="51">+W38-AB38</f>
        <v>244961.02620000002</v>
      </c>
      <c r="AI38" s="178">
        <f t="shared" ref="AI38" si="52">+X38-AC38</f>
        <v>162973.85093999997</v>
      </c>
      <c r="AJ38" s="178">
        <f t="shared" ref="AJ38" si="53">+Y38-AD38</f>
        <v>0</v>
      </c>
      <c r="AK38" s="178">
        <f t="shared" ref="AK38" si="54">-AE38</f>
        <v>0</v>
      </c>
      <c r="AL38" s="178">
        <f t="shared" ref="AL38" si="55">+Z38-AF38</f>
        <v>407934.87713999994</v>
      </c>
    </row>
    <row r="39" spans="1:44" s="151" customFormat="1" ht="40.5" customHeight="1" x14ac:dyDescent="0.2">
      <c r="A39" s="218" t="s">
        <v>170</v>
      </c>
      <c r="B39" s="205" t="s">
        <v>171</v>
      </c>
      <c r="C39" s="147"/>
      <c r="D39" s="147"/>
      <c r="E39" s="147" t="s">
        <v>182</v>
      </c>
      <c r="F39" s="206">
        <v>29215</v>
      </c>
      <c r="G39" s="207">
        <v>43025</v>
      </c>
      <c r="H39" s="203" t="s">
        <v>90</v>
      </c>
      <c r="I39" s="99"/>
      <c r="J39" s="147" t="s">
        <v>169</v>
      </c>
      <c r="K39" s="148">
        <v>43089</v>
      </c>
      <c r="L39" s="153" t="s">
        <v>90</v>
      </c>
      <c r="M39" s="99"/>
      <c r="N39" s="147">
        <v>2018</v>
      </c>
      <c r="O39" s="147">
        <v>2032</v>
      </c>
      <c r="P39" s="147"/>
      <c r="Q39" s="204"/>
      <c r="R39" s="149"/>
      <c r="S39" s="99"/>
      <c r="T39" s="99"/>
      <c r="U39" s="99">
        <f>251720+822560+266120</f>
        <v>1340400</v>
      </c>
      <c r="V39" s="99"/>
      <c r="W39" s="233">
        <f>(261440+889440+316000)*W$1/100</f>
        <v>33400.857600000003</v>
      </c>
      <c r="X39" s="233">
        <f t="shared" si="48"/>
        <v>20305.7196</v>
      </c>
      <c r="Y39" s="233">
        <f t="shared" si="48"/>
        <v>16759.021199999999</v>
      </c>
      <c r="Z39" s="233">
        <f t="shared" ref="Z39" si="56">+W39+X39+Y39</f>
        <v>70465.598400000003</v>
      </c>
      <c r="AA39" s="99"/>
      <c r="AB39" s="150">
        <f>W39</f>
        <v>33400.857600000003</v>
      </c>
      <c r="AC39" s="235">
        <f>X39</f>
        <v>20305.7196</v>
      </c>
      <c r="AD39" s="150">
        <f>Y39</f>
        <v>16759.021199999999</v>
      </c>
      <c r="AE39" s="150"/>
      <c r="AF39" s="235">
        <f t="shared" si="50"/>
        <v>70465.598400000003</v>
      </c>
      <c r="AG39" s="99"/>
      <c r="AH39" s="236">
        <f t="shared" ref="AH39" si="57">+W39-AB39</f>
        <v>0</v>
      </c>
      <c r="AI39" s="234">
        <f t="shared" ref="AI39" si="58">+X39-AC39</f>
        <v>0</v>
      </c>
      <c r="AJ39" s="234">
        <f t="shared" ref="AJ39" si="59">+Y39-AD39</f>
        <v>0</v>
      </c>
      <c r="AK39" s="234">
        <f t="shared" ref="AK39" si="60">-AE39</f>
        <v>0</v>
      </c>
      <c r="AL39" s="234">
        <f t="shared" ref="AL39" si="61">+Z39-AF39</f>
        <v>0</v>
      </c>
    </row>
    <row r="40" spans="1:44" s="58" customFormat="1" ht="42.6" customHeight="1" x14ac:dyDescent="0.2">
      <c r="A40" s="326" t="s">
        <v>124</v>
      </c>
      <c r="B40" s="142" t="s">
        <v>125</v>
      </c>
      <c r="C40" s="328"/>
      <c r="D40" s="328"/>
      <c r="E40" s="147"/>
      <c r="F40" s="61">
        <v>28815</v>
      </c>
      <c r="G40" s="63">
        <v>42661</v>
      </c>
      <c r="H40" s="103" t="s">
        <v>90</v>
      </c>
      <c r="I40" s="65"/>
      <c r="J40" s="61" t="s">
        <v>126</v>
      </c>
      <c r="K40" s="63">
        <v>42676</v>
      </c>
      <c r="L40" s="153" t="s">
        <v>90</v>
      </c>
      <c r="M40" s="65"/>
      <c r="N40" s="66">
        <v>2019</v>
      </c>
      <c r="O40" s="66">
        <v>2033</v>
      </c>
      <c r="P40" s="152"/>
      <c r="Q40" s="68"/>
      <c r="R40" s="149" t="s">
        <v>127</v>
      </c>
      <c r="S40" s="65"/>
      <c r="T40" s="70"/>
      <c r="U40" s="329">
        <f>7261160+39668</f>
        <v>7300828</v>
      </c>
      <c r="V40" s="65"/>
      <c r="W40" s="71">
        <f t="shared" si="48"/>
        <v>166239.85356000002</v>
      </c>
      <c r="X40" s="71">
        <f t="shared" si="48"/>
        <v>110600.243372</v>
      </c>
      <c r="Y40" s="71">
        <f t="shared" si="48"/>
        <v>91282.252483999997</v>
      </c>
      <c r="Z40" s="71">
        <f>+W40+X40+Y40</f>
        <v>368122.34941600001</v>
      </c>
      <c r="AA40" s="65"/>
      <c r="AB40" s="72">
        <v>0</v>
      </c>
      <c r="AC40" s="72">
        <v>0</v>
      </c>
      <c r="AD40" s="72">
        <f>Y40</f>
        <v>91282.252483999997</v>
      </c>
      <c r="AE40" s="73"/>
      <c r="AF40" s="73">
        <f>+AB40+AC40+AD40+AE40</f>
        <v>91282.252483999997</v>
      </c>
      <c r="AG40" s="259"/>
      <c r="AH40" s="74">
        <f t="shared" ref="AH40:AJ41" si="62">+W40-AB40</f>
        <v>166239.85356000002</v>
      </c>
      <c r="AI40" s="75">
        <f t="shared" si="62"/>
        <v>110600.243372</v>
      </c>
      <c r="AJ40" s="75">
        <f t="shared" si="62"/>
        <v>0</v>
      </c>
      <c r="AK40" s="75">
        <f>-AE40</f>
        <v>0</v>
      </c>
      <c r="AL40" s="75">
        <f>+Z40-AF40</f>
        <v>276840.09693200001</v>
      </c>
    </row>
    <row r="41" spans="1:44" s="58" customFormat="1" ht="48.6" customHeight="1" x14ac:dyDescent="0.2">
      <c r="A41" s="59" t="s">
        <v>102</v>
      </c>
      <c r="B41" s="60" t="s">
        <v>132</v>
      </c>
      <c r="C41" s="61"/>
      <c r="D41" s="61"/>
      <c r="E41" s="62" t="s">
        <v>177</v>
      </c>
      <c r="F41" s="61">
        <v>28233</v>
      </c>
      <c r="G41" s="63">
        <v>42129</v>
      </c>
      <c r="H41" s="103" t="s">
        <v>90</v>
      </c>
      <c r="I41" s="65"/>
      <c r="J41" s="61" t="s">
        <v>96</v>
      </c>
      <c r="K41" s="63">
        <v>42130</v>
      </c>
      <c r="L41" s="153" t="s">
        <v>90</v>
      </c>
      <c r="M41" s="65"/>
      <c r="N41" s="66">
        <v>2016</v>
      </c>
      <c r="O41" s="66">
        <v>2034</v>
      </c>
      <c r="P41" s="152"/>
      <c r="Q41" s="68"/>
      <c r="R41" s="149" t="s">
        <v>105</v>
      </c>
      <c r="S41" s="65"/>
      <c r="T41" s="70"/>
      <c r="U41" s="329">
        <f>3035280+27078</f>
        <v>3062358</v>
      </c>
      <c r="V41" s="65"/>
      <c r="W41" s="71">
        <f t="shared" si="48"/>
        <v>69729.891660000008</v>
      </c>
      <c r="X41" s="71">
        <f t="shared" si="48"/>
        <v>46391.661341999992</v>
      </c>
      <c r="Y41" s="71">
        <f t="shared" si="48"/>
        <v>38288.662074</v>
      </c>
      <c r="Z41" s="71">
        <f>+W41+X41+Y41</f>
        <v>154410.21507599999</v>
      </c>
      <c r="AA41" s="65"/>
      <c r="AB41" s="72">
        <v>0</v>
      </c>
      <c r="AC41" s="72">
        <v>0</v>
      </c>
      <c r="AD41" s="72">
        <f>Y41</f>
        <v>38288.662074</v>
      </c>
      <c r="AE41" s="73"/>
      <c r="AF41" s="73">
        <f>+AB41+AC41+AD41+AE41</f>
        <v>38288.662074</v>
      </c>
      <c r="AG41" s="259"/>
      <c r="AH41" s="74">
        <f t="shared" si="62"/>
        <v>69729.891660000008</v>
      </c>
      <c r="AI41" s="75">
        <f t="shared" si="62"/>
        <v>46391.661341999992</v>
      </c>
      <c r="AJ41" s="75">
        <f t="shared" si="62"/>
        <v>0</v>
      </c>
      <c r="AK41" s="75">
        <f>-AE41</f>
        <v>0</v>
      </c>
      <c r="AL41" s="75">
        <f>+Z41-AF41</f>
        <v>116121.553002</v>
      </c>
    </row>
    <row r="42" spans="1:44" s="58" customFormat="1" ht="25.5" customHeight="1" x14ac:dyDescent="0.2">
      <c r="A42" s="59" t="s">
        <v>31</v>
      </c>
      <c r="B42" s="60" t="s">
        <v>191</v>
      </c>
      <c r="C42" s="102"/>
      <c r="D42" s="102"/>
      <c r="E42" s="62" t="s">
        <v>203</v>
      </c>
      <c r="F42" s="61">
        <v>23253</v>
      </c>
      <c r="G42" s="63">
        <v>38611</v>
      </c>
      <c r="H42" s="64" t="s">
        <v>90</v>
      </c>
      <c r="I42" s="65"/>
      <c r="J42" s="61" t="s">
        <v>58</v>
      </c>
      <c r="K42" s="63">
        <v>37349</v>
      </c>
      <c r="L42" s="155" t="s">
        <v>90</v>
      </c>
      <c r="M42" s="65"/>
      <c r="N42" s="66">
        <v>2006</v>
      </c>
      <c r="O42" s="66">
        <v>2021</v>
      </c>
      <c r="P42" s="152"/>
      <c r="Q42" s="68"/>
      <c r="R42" s="69"/>
      <c r="S42" s="65"/>
      <c r="T42" s="70"/>
      <c r="U42" s="329">
        <f>890640+300</f>
        <v>890940</v>
      </c>
      <c r="V42" s="65"/>
      <c r="W42" s="71">
        <f t="shared" si="48"/>
        <v>20286.703800000003</v>
      </c>
      <c r="X42" s="71">
        <f t="shared" si="48"/>
        <v>13496.850059999999</v>
      </c>
      <c r="Y42" s="71">
        <f t="shared" si="48"/>
        <v>11139.42282</v>
      </c>
      <c r="Z42" s="71">
        <f t="shared" ref="Z42:Z51" si="63">+W42+X42+Y42</f>
        <v>44922.97668</v>
      </c>
      <c r="AA42" s="65"/>
      <c r="AB42" s="72">
        <f>12980.02+3.69</f>
        <v>12983.710000000001</v>
      </c>
      <c r="AC42" s="224">
        <f>SUM(15843.99+4.48)*X1/(X1+Y1)</f>
        <v>8682.4993501374211</v>
      </c>
      <c r="AD42" s="224">
        <f>SUM(15843.99+4.48)-AC42</f>
        <v>7165.9706498625783</v>
      </c>
      <c r="AE42" s="73"/>
      <c r="AF42" s="73">
        <f t="shared" si="50"/>
        <v>28832.18</v>
      </c>
      <c r="AG42" s="259"/>
      <c r="AH42" s="74">
        <f t="shared" ref="AH42:AJ51" si="64">+W42-AB42</f>
        <v>7302.993800000002</v>
      </c>
      <c r="AI42" s="75">
        <f t="shared" si="64"/>
        <v>4814.3507098625778</v>
      </c>
      <c r="AJ42" s="75">
        <f t="shared" si="64"/>
        <v>3973.4521701374215</v>
      </c>
      <c r="AK42" s="75">
        <f t="shared" ref="AK42:AK51" si="65">-AE42</f>
        <v>0</v>
      </c>
      <c r="AL42" s="75">
        <f t="shared" ref="AL42:AL51" si="66">+Z42-AF42</f>
        <v>16090.796679999999</v>
      </c>
    </row>
    <row r="43" spans="1:44" s="58" customFormat="1" ht="25.5" customHeight="1" x14ac:dyDescent="0.2">
      <c r="A43" s="326" t="s">
        <v>188</v>
      </c>
      <c r="B43" s="142" t="s">
        <v>190</v>
      </c>
      <c r="C43" s="328"/>
      <c r="D43" s="328"/>
      <c r="E43" s="147"/>
      <c r="F43" s="257">
        <v>29744</v>
      </c>
      <c r="G43" s="258">
        <v>43452</v>
      </c>
      <c r="H43" s="252" t="s">
        <v>90</v>
      </c>
      <c r="I43" s="256"/>
      <c r="J43" s="257" t="s">
        <v>189</v>
      </c>
      <c r="K43" s="258">
        <v>43481</v>
      </c>
      <c r="L43" s="153" t="s">
        <v>90</v>
      </c>
      <c r="M43" s="256"/>
      <c r="N43" s="253">
        <v>2020</v>
      </c>
      <c r="O43" s="253">
        <v>2044</v>
      </c>
      <c r="P43" s="152"/>
      <c r="Q43" s="254"/>
      <c r="R43" s="69"/>
      <c r="S43" s="256"/>
      <c r="T43" s="255"/>
      <c r="U43" s="329">
        <f>2878320+1625</f>
        <v>2879945</v>
      </c>
      <c r="V43" s="256"/>
      <c r="W43" s="296">
        <f t="shared" si="48"/>
        <v>65576.347650000011</v>
      </c>
      <c r="X43" s="296">
        <f t="shared" si="48"/>
        <v>43628.286804999996</v>
      </c>
      <c r="Y43" s="296">
        <f t="shared" si="48"/>
        <v>36007.952335000002</v>
      </c>
      <c r="Z43" s="296">
        <f t="shared" ref="Z43" si="67">+W43+X43+Y43</f>
        <v>145212.58679</v>
      </c>
      <c r="AA43" s="300"/>
      <c r="AB43" s="301">
        <v>0</v>
      </c>
      <c r="AC43" s="298">
        <v>0</v>
      </c>
      <c r="AD43" s="298">
        <f>Y43</f>
        <v>36007.952335000002</v>
      </c>
      <c r="AE43" s="298"/>
      <c r="AF43" s="298">
        <f t="shared" ref="AF43" si="68">+AB43+AC43+AD43+AE43</f>
        <v>36007.952335000002</v>
      </c>
      <c r="AG43" s="300"/>
      <c r="AH43" s="299">
        <f t="shared" ref="AH43" si="69">+W43-AB43</f>
        <v>65576.347650000011</v>
      </c>
      <c r="AI43" s="297">
        <f t="shared" ref="AI43" si="70">+X43-AC43</f>
        <v>43628.286804999996</v>
      </c>
      <c r="AJ43" s="297">
        <f t="shared" ref="AJ43" si="71">+Y43-AD43</f>
        <v>0</v>
      </c>
      <c r="AK43" s="297">
        <f t="shared" ref="AK43" si="72">-AE43</f>
        <v>0</v>
      </c>
      <c r="AL43" s="297">
        <f t="shared" ref="AL43" si="73">+Z43-AF43</f>
        <v>109204.63445499999</v>
      </c>
    </row>
    <row r="44" spans="1:44" s="58" customFormat="1" ht="51.75" customHeight="1" x14ac:dyDescent="0.2">
      <c r="A44" s="294" t="s">
        <v>172</v>
      </c>
      <c r="B44" s="142" t="s">
        <v>174</v>
      </c>
      <c r="C44" s="292"/>
      <c r="D44" s="292"/>
      <c r="E44" s="147" t="s">
        <v>207</v>
      </c>
      <c r="F44" s="213">
        <v>29634</v>
      </c>
      <c r="G44" s="214">
        <v>43368</v>
      </c>
      <c r="H44" s="216" t="s">
        <v>90</v>
      </c>
      <c r="I44" s="211"/>
      <c r="J44" s="213" t="s">
        <v>173</v>
      </c>
      <c r="K44" s="214">
        <v>43376</v>
      </c>
      <c r="L44" s="153" t="s">
        <v>90</v>
      </c>
      <c r="M44" s="211"/>
      <c r="N44" s="208">
        <v>2019</v>
      </c>
      <c r="O44" s="208">
        <v>2033</v>
      </c>
      <c r="P44" s="152"/>
      <c r="Q44" s="209"/>
      <c r="R44" s="69" t="s">
        <v>175</v>
      </c>
      <c r="S44" s="211"/>
      <c r="T44" s="210"/>
      <c r="U44" s="329">
        <f>909280+62418</f>
        <v>971698</v>
      </c>
      <c r="V44" s="211"/>
      <c r="W44" s="288">
        <f t="shared" si="48"/>
        <v>22125.563459999998</v>
      </c>
      <c r="X44" s="288">
        <f t="shared" si="48"/>
        <v>14720.253001999999</v>
      </c>
      <c r="Y44" s="288">
        <f t="shared" si="48"/>
        <v>12149.140093999998</v>
      </c>
      <c r="Z44" s="288">
        <f t="shared" ref="Z44" si="74">+W44+X44+Y44</f>
        <v>48994.95655599999</v>
      </c>
      <c r="AA44" s="211"/>
      <c r="AB44" s="212"/>
      <c r="AC44" s="100">
        <v>25143.41</v>
      </c>
      <c r="AD44" s="100">
        <v>780.41</v>
      </c>
      <c r="AE44" s="215"/>
      <c r="AF44" s="290">
        <f t="shared" si="50"/>
        <v>25923.82</v>
      </c>
      <c r="AG44" s="259"/>
      <c r="AH44" s="291">
        <f t="shared" ref="AH44" si="75">+W44-AB44</f>
        <v>22125.563459999998</v>
      </c>
      <c r="AI44" s="289">
        <f t="shared" ref="AI44" si="76">+X44-AC44</f>
        <v>-10423.156998</v>
      </c>
      <c r="AJ44" s="289">
        <f t="shared" ref="AJ44" si="77">+Y44-AD44</f>
        <v>11368.730093999999</v>
      </c>
      <c r="AK44" s="289">
        <f t="shared" ref="AK44" si="78">-AE44</f>
        <v>0</v>
      </c>
      <c r="AL44" s="289">
        <f t="shared" ref="AL44" si="79">+Z44-AF44</f>
        <v>23071.13655599999</v>
      </c>
    </row>
    <row r="45" spans="1:44" s="58" customFormat="1" ht="25.5" customHeight="1" x14ac:dyDescent="0.2">
      <c r="A45" s="59" t="s">
        <v>32</v>
      </c>
      <c r="B45" s="60" t="s">
        <v>33</v>
      </c>
      <c r="C45" s="61">
        <v>35.040156000000003</v>
      </c>
      <c r="D45" s="61">
        <v>-85.307471000000007</v>
      </c>
      <c r="E45" s="62" t="s">
        <v>79</v>
      </c>
      <c r="F45" s="61">
        <v>23253</v>
      </c>
      <c r="G45" s="63">
        <v>37264</v>
      </c>
      <c r="H45" s="64" t="s">
        <v>90</v>
      </c>
      <c r="I45" s="65"/>
      <c r="J45" s="61" t="s">
        <v>58</v>
      </c>
      <c r="K45" s="63">
        <v>37349</v>
      </c>
      <c r="L45" s="153" t="s">
        <v>90</v>
      </c>
      <c r="M45" s="65"/>
      <c r="N45" s="66">
        <v>2003</v>
      </c>
      <c r="O45" s="66">
        <v>2020</v>
      </c>
      <c r="P45" s="152"/>
      <c r="Q45" s="68"/>
      <c r="R45" s="69"/>
      <c r="S45" s="65"/>
      <c r="T45" s="70"/>
      <c r="U45" s="329">
        <v>577120</v>
      </c>
      <c r="V45" s="65"/>
      <c r="W45" s="71">
        <f t="shared" si="48"/>
        <v>13141.0224</v>
      </c>
      <c r="X45" s="71">
        <f t="shared" si="48"/>
        <v>8742.7908800000005</v>
      </c>
      <c r="Y45" s="71">
        <f t="shared" si="48"/>
        <v>7215.7313599999998</v>
      </c>
      <c r="Z45" s="71">
        <f t="shared" si="63"/>
        <v>29099.54464</v>
      </c>
      <c r="AA45" s="65"/>
      <c r="AB45" s="72">
        <v>10865.26</v>
      </c>
      <c r="AC45" s="223">
        <f>13195.6*X1/(X1+Y1)</f>
        <v>7229.138738608418</v>
      </c>
      <c r="AD45" s="223">
        <f>13195.6-AC45</f>
        <v>5966.4612613915824</v>
      </c>
      <c r="AE45" s="73"/>
      <c r="AF45" s="73">
        <f t="shared" si="50"/>
        <v>24060.86</v>
      </c>
      <c r="AG45" s="259"/>
      <c r="AH45" s="74">
        <f t="shared" si="64"/>
        <v>2275.7623999999996</v>
      </c>
      <c r="AI45" s="75">
        <f t="shared" si="64"/>
        <v>1513.6521413915825</v>
      </c>
      <c r="AJ45" s="75">
        <f t="shared" si="64"/>
        <v>1249.2700986084174</v>
      </c>
      <c r="AK45" s="75">
        <f t="shared" si="65"/>
        <v>0</v>
      </c>
      <c r="AL45" s="75">
        <f t="shared" si="66"/>
        <v>5038.6846399999995</v>
      </c>
    </row>
    <row r="46" spans="1:44" s="58" customFormat="1" ht="25.5" hidden="1" customHeight="1" x14ac:dyDescent="0.2">
      <c r="A46" s="231" t="s">
        <v>134</v>
      </c>
      <c r="B46" s="142" t="s">
        <v>196</v>
      </c>
      <c r="C46" s="232"/>
      <c r="D46" s="232"/>
      <c r="E46" s="147"/>
      <c r="F46" s="61">
        <v>28852</v>
      </c>
      <c r="G46" s="63">
        <v>42710</v>
      </c>
      <c r="H46" s="103" t="s">
        <v>90</v>
      </c>
      <c r="I46" s="65"/>
      <c r="J46" s="61" t="s">
        <v>133</v>
      </c>
      <c r="K46" s="63">
        <v>42725</v>
      </c>
      <c r="L46" s="153" t="s">
        <v>90</v>
      </c>
      <c r="M46" s="65"/>
      <c r="N46" s="66">
        <v>2017</v>
      </c>
      <c r="O46" s="66">
        <v>2037</v>
      </c>
      <c r="P46" s="152"/>
      <c r="Q46" s="68"/>
      <c r="R46" s="154" t="s">
        <v>137</v>
      </c>
      <c r="S46" s="65"/>
      <c r="T46" s="70"/>
      <c r="U46" s="329"/>
      <c r="V46" s="65"/>
      <c r="W46" s="71"/>
      <c r="X46" s="71"/>
      <c r="Y46" s="71"/>
      <c r="Z46" s="71"/>
      <c r="AA46" s="65"/>
      <c r="AB46" s="72"/>
      <c r="AC46" s="100"/>
      <c r="AD46" s="100"/>
      <c r="AE46" s="73"/>
      <c r="AF46" s="73"/>
      <c r="AG46" s="259"/>
      <c r="AH46" s="74"/>
      <c r="AI46" s="75"/>
      <c r="AJ46" s="75"/>
      <c r="AK46" s="75"/>
      <c r="AL46" s="75"/>
    </row>
    <row r="47" spans="1:44" s="58" customFormat="1" ht="65.25" customHeight="1" x14ac:dyDescent="0.2">
      <c r="A47" s="186" t="s">
        <v>148</v>
      </c>
      <c r="B47" s="187" t="s">
        <v>149</v>
      </c>
      <c r="C47" s="168"/>
      <c r="D47" s="168"/>
      <c r="E47" s="188" t="s">
        <v>156</v>
      </c>
      <c r="F47" s="164">
        <v>28336</v>
      </c>
      <c r="G47" s="166">
        <v>42206</v>
      </c>
      <c r="H47" s="84" t="s">
        <v>90</v>
      </c>
      <c r="I47" s="167"/>
      <c r="J47" s="164" t="s">
        <v>150</v>
      </c>
      <c r="K47" s="166">
        <v>42221</v>
      </c>
      <c r="L47" s="88" t="s">
        <v>90</v>
      </c>
      <c r="M47" s="167"/>
      <c r="N47" s="168">
        <v>2017</v>
      </c>
      <c r="O47" s="168">
        <v>2031</v>
      </c>
      <c r="P47" s="169"/>
      <c r="Q47" s="170"/>
      <c r="R47" s="171" t="s">
        <v>151</v>
      </c>
      <c r="S47" s="167"/>
      <c r="T47" s="172"/>
      <c r="U47" s="167">
        <f>6335720+64955</f>
        <v>6400675</v>
      </c>
      <c r="V47" s="167"/>
      <c r="W47" s="181">
        <f t="shared" si="48"/>
        <v>145743.36975000001</v>
      </c>
      <c r="X47" s="181">
        <f t="shared" si="48"/>
        <v>96963.825574999995</v>
      </c>
      <c r="Y47" s="181">
        <f t="shared" si="48"/>
        <v>80027.639524999991</v>
      </c>
      <c r="Z47" s="181">
        <f t="shared" ref="Z47" si="80">+W47+X47+Y47</f>
        <v>322734.83484999998</v>
      </c>
      <c r="AA47" s="167"/>
      <c r="AB47" s="173">
        <v>0</v>
      </c>
      <c r="AC47" s="174">
        <v>0</v>
      </c>
      <c r="AD47" s="174">
        <f>Y47</f>
        <v>80027.639524999991</v>
      </c>
      <c r="AE47" s="175"/>
      <c r="AF47" s="182">
        <f t="shared" si="50"/>
        <v>80027.639524999991</v>
      </c>
      <c r="AG47" s="167"/>
      <c r="AH47" s="184">
        <f t="shared" ref="AH47" si="81">+W47-AB47</f>
        <v>145743.36975000001</v>
      </c>
      <c r="AI47" s="183">
        <f t="shared" ref="AI47" si="82">+X47-AC47</f>
        <v>96963.825574999995</v>
      </c>
      <c r="AJ47" s="183">
        <f t="shared" ref="AJ47" si="83">+Y47-AD47</f>
        <v>0</v>
      </c>
      <c r="AK47" s="183">
        <f t="shared" ref="AK47" si="84">-AE47</f>
        <v>0</v>
      </c>
      <c r="AL47" s="183">
        <f t="shared" ref="AL47" si="85">+Z47-AF47</f>
        <v>242707.19532499998</v>
      </c>
      <c r="AM47" s="165"/>
    </row>
    <row r="48" spans="1:44" s="58" customFormat="1" ht="42.6" customHeight="1" x14ac:dyDescent="0.2">
      <c r="A48" s="139" t="s">
        <v>100</v>
      </c>
      <c r="B48" s="120" t="s">
        <v>101</v>
      </c>
      <c r="C48" s="121"/>
      <c r="D48" s="122"/>
      <c r="E48" s="123" t="s">
        <v>130</v>
      </c>
      <c r="F48" s="122">
        <v>28139</v>
      </c>
      <c r="G48" s="123">
        <v>42045</v>
      </c>
      <c r="H48" s="140" t="s">
        <v>90</v>
      </c>
      <c r="I48" s="120"/>
      <c r="J48" s="122" t="s">
        <v>95</v>
      </c>
      <c r="K48" s="123">
        <v>42053</v>
      </c>
      <c r="L48" s="153" t="s">
        <v>90</v>
      </c>
      <c r="M48" s="129"/>
      <c r="N48" s="127">
        <v>2016</v>
      </c>
      <c r="O48" s="127">
        <v>2030</v>
      </c>
      <c r="P48" s="69"/>
      <c r="Q48" s="129"/>
      <c r="R48" s="149" t="s">
        <v>106</v>
      </c>
      <c r="S48" s="129"/>
      <c r="T48" s="129"/>
      <c r="U48" s="329">
        <f>1915760+31396</f>
        <v>1947156</v>
      </c>
      <c r="V48" s="129"/>
      <c r="W48" s="130">
        <f t="shared" si="48"/>
        <v>44336.742120000003</v>
      </c>
      <c r="X48" s="130">
        <f t="shared" si="48"/>
        <v>29497.466243999996</v>
      </c>
      <c r="Y48" s="130">
        <f t="shared" si="48"/>
        <v>24345.291467999996</v>
      </c>
      <c r="Z48" s="130">
        <f>+W48+X48+Y48</f>
        <v>98179.499831999987</v>
      </c>
      <c r="AA48" s="129"/>
      <c r="AB48" s="131">
        <v>0</v>
      </c>
      <c r="AC48" s="100">
        <v>0</v>
      </c>
      <c r="AD48" s="100">
        <f>Y48</f>
        <v>24345.291467999996</v>
      </c>
      <c r="AE48" s="132"/>
      <c r="AF48" s="132">
        <f t="shared" si="50"/>
        <v>24345.291467999996</v>
      </c>
      <c r="AG48" s="259"/>
      <c r="AH48" s="133">
        <f>+W48-AB48</f>
        <v>44336.742120000003</v>
      </c>
      <c r="AI48" s="134">
        <f>+X48-AC48</f>
        <v>29497.466243999996</v>
      </c>
      <c r="AJ48" s="134">
        <f>+Y48-AD48</f>
        <v>0</v>
      </c>
      <c r="AK48" s="134">
        <f>-AE48</f>
        <v>0</v>
      </c>
      <c r="AL48" s="134">
        <f>+Z48-AF48</f>
        <v>73834.208363999991</v>
      </c>
      <c r="AM48" s="80"/>
      <c r="AN48" s="80"/>
      <c r="AO48" s="80"/>
      <c r="AP48" s="80"/>
      <c r="AQ48" s="80"/>
      <c r="AR48" s="80"/>
    </row>
    <row r="49" spans="1:41" s="58" customFormat="1" ht="25.5" customHeight="1" x14ac:dyDescent="0.2">
      <c r="A49" s="59" t="s">
        <v>36</v>
      </c>
      <c r="B49" s="60" t="s">
        <v>37</v>
      </c>
      <c r="C49" s="61">
        <v>35.043092999999999</v>
      </c>
      <c r="D49" s="61">
        <v>-85.2932019</v>
      </c>
      <c r="E49" s="62" t="s">
        <v>120</v>
      </c>
      <c r="F49" s="61">
        <v>27337</v>
      </c>
      <c r="G49" s="63">
        <v>41247</v>
      </c>
      <c r="H49" s="64" t="s">
        <v>90</v>
      </c>
      <c r="I49" s="65"/>
      <c r="J49" s="61" t="s">
        <v>68</v>
      </c>
      <c r="K49" s="63">
        <v>41262</v>
      </c>
      <c r="L49" s="155" t="s">
        <v>90</v>
      </c>
      <c r="M49" s="65"/>
      <c r="N49" s="66">
        <v>2013</v>
      </c>
      <c r="O49" s="66">
        <v>2024</v>
      </c>
      <c r="P49" s="152"/>
      <c r="Q49" s="68"/>
      <c r="R49" s="69"/>
      <c r="S49" s="65"/>
      <c r="T49" s="70"/>
      <c r="U49" s="329">
        <f>528760+5487</f>
        <v>534247</v>
      </c>
      <c r="V49" s="65"/>
      <c r="W49" s="71">
        <f t="shared" si="48"/>
        <v>12164.804190000001</v>
      </c>
      <c r="X49" s="71">
        <f t="shared" si="48"/>
        <v>8093.3078029999997</v>
      </c>
      <c r="Y49" s="71">
        <f t="shared" si="48"/>
        <v>6679.6902410000002</v>
      </c>
      <c r="Z49" s="71">
        <f t="shared" si="63"/>
        <v>26937.802233999999</v>
      </c>
      <c r="AA49" s="65"/>
      <c r="AB49" s="72">
        <v>5790.05</v>
      </c>
      <c r="AC49" s="73">
        <f>6374.23*X1/(X1+Y1)</f>
        <v>3492.0877430203955</v>
      </c>
      <c r="AD49" s="73">
        <f>3728.95+68.6+6374.23*Y1/(X1+Y1)</f>
        <v>6679.6922569796025</v>
      </c>
      <c r="AE49" s="73"/>
      <c r="AF49" s="73">
        <f t="shared" si="50"/>
        <v>15961.829999999998</v>
      </c>
      <c r="AG49" s="259"/>
      <c r="AH49" s="74">
        <f t="shared" si="64"/>
        <v>6374.7541900000006</v>
      </c>
      <c r="AI49" s="75">
        <f t="shared" si="64"/>
        <v>4601.2200599796042</v>
      </c>
      <c r="AJ49" s="75">
        <f>ROUND(+Y49-AD49,0)</f>
        <v>0</v>
      </c>
      <c r="AK49" s="75">
        <f t="shared" si="65"/>
        <v>0</v>
      </c>
      <c r="AL49" s="75">
        <f t="shared" si="66"/>
        <v>10975.972234000001</v>
      </c>
    </row>
    <row r="50" spans="1:41" s="58" customFormat="1" ht="25.5" customHeight="1" x14ac:dyDescent="0.2">
      <c r="A50" s="59" t="s">
        <v>34</v>
      </c>
      <c r="B50" s="60" t="s">
        <v>35</v>
      </c>
      <c r="C50" s="102"/>
      <c r="D50" s="102"/>
      <c r="E50" s="62" t="s">
        <v>119</v>
      </c>
      <c r="F50" s="61">
        <v>27336</v>
      </c>
      <c r="G50" s="63">
        <v>41247</v>
      </c>
      <c r="H50" s="64" t="s">
        <v>90</v>
      </c>
      <c r="I50" s="65"/>
      <c r="J50" s="61" t="s">
        <v>67</v>
      </c>
      <c r="K50" s="63">
        <v>41262</v>
      </c>
      <c r="L50" s="155" t="s">
        <v>90</v>
      </c>
      <c r="M50" s="65"/>
      <c r="N50" s="66">
        <v>2013</v>
      </c>
      <c r="O50" s="66">
        <v>2024</v>
      </c>
      <c r="P50" s="152"/>
      <c r="Q50" s="68"/>
      <c r="R50" s="69"/>
      <c r="S50" s="65"/>
      <c r="T50" s="70"/>
      <c r="U50" s="329">
        <f>134440+583160+3930</f>
        <v>721530</v>
      </c>
      <c r="V50" s="65"/>
      <c r="W50" s="71">
        <f t="shared" si="48"/>
        <v>16429.238100000002</v>
      </c>
      <c r="X50" s="71">
        <f t="shared" si="48"/>
        <v>10930.457969999999</v>
      </c>
      <c r="Y50" s="71">
        <f t="shared" si="48"/>
        <v>9021.2895900000003</v>
      </c>
      <c r="Z50" s="71">
        <f t="shared" si="63"/>
        <v>36380.985660000006</v>
      </c>
      <c r="AA50" s="65"/>
      <c r="AB50" s="72">
        <f>593.87+9553.72</f>
        <v>10147.59</v>
      </c>
      <c r="AC50" s="73">
        <f>(653.8+10517.6)*X1/(X1+Y1)</f>
        <v>6120.1916172428755</v>
      </c>
      <c r="AD50" s="73">
        <f>1385.28+2535.66+49.14+(653.8+10517.6)*Y1/(X1+Y1)</f>
        <v>9021.2883827571241</v>
      </c>
      <c r="AE50" s="73"/>
      <c r="AF50" s="73">
        <f t="shared" si="50"/>
        <v>25289.07</v>
      </c>
      <c r="AG50" s="259"/>
      <c r="AH50" s="74">
        <f t="shared" si="64"/>
        <v>6281.6481000000022</v>
      </c>
      <c r="AI50" s="75">
        <f t="shared" si="64"/>
        <v>4810.266352757124</v>
      </c>
      <c r="AJ50" s="176">
        <f>ROUND(+Y50-AD50,0)</f>
        <v>0</v>
      </c>
      <c r="AK50" s="75">
        <f t="shared" si="65"/>
        <v>0</v>
      </c>
      <c r="AL50" s="75">
        <f t="shared" si="66"/>
        <v>11091.915660000006</v>
      </c>
    </row>
    <row r="51" spans="1:41" s="58" customFormat="1" ht="26.25" customHeight="1" x14ac:dyDescent="0.2">
      <c r="A51" s="59" t="s">
        <v>38</v>
      </c>
      <c r="B51" s="60" t="s">
        <v>39</v>
      </c>
      <c r="C51" s="61">
        <v>35.054606679999999</v>
      </c>
      <c r="D51" s="61">
        <v>-85.307281329999995</v>
      </c>
      <c r="E51" s="62" t="s">
        <v>131</v>
      </c>
      <c r="F51" s="61">
        <v>23253</v>
      </c>
      <c r="G51" s="63">
        <v>40513</v>
      </c>
      <c r="H51" s="64" t="s">
        <v>90</v>
      </c>
      <c r="I51" s="65"/>
      <c r="J51" s="61" t="s">
        <v>58</v>
      </c>
      <c r="K51" s="63">
        <v>37349</v>
      </c>
      <c r="L51" s="155" t="s">
        <v>90</v>
      </c>
      <c r="M51" s="65"/>
      <c r="N51" s="66">
        <v>2012</v>
      </c>
      <c r="O51" s="66">
        <v>2025</v>
      </c>
      <c r="P51" s="152"/>
      <c r="Q51" s="68"/>
      <c r="R51" s="69"/>
      <c r="S51" s="65"/>
      <c r="T51" s="70"/>
      <c r="U51" s="329">
        <v>4912920</v>
      </c>
      <c r="V51" s="65"/>
      <c r="W51" s="71">
        <f t="shared" si="48"/>
        <v>111867.1884</v>
      </c>
      <c r="X51" s="71">
        <f t="shared" si="48"/>
        <v>74425.825079999995</v>
      </c>
      <c r="Y51" s="71">
        <f t="shared" si="48"/>
        <v>61426.23876</v>
      </c>
      <c r="Z51" s="71">
        <f t="shared" si="63"/>
        <v>247719.25224</v>
      </c>
      <c r="AA51" s="65"/>
      <c r="AB51" s="72">
        <v>0</v>
      </c>
      <c r="AC51" s="73">
        <v>0</v>
      </c>
      <c r="AD51" s="73">
        <v>0</v>
      </c>
      <c r="AE51" s="73"/>
      <c r="AF51" s="73">
        <f t="shared" si="50"/>
        <v>0</v>
      </c>
      <c r="AG51" s="259"/>
      <c r="AH51" s="74">
        <f t="shared" si="64"/>
        <v>111867.1884</v>
      </c>
      <c r="AI51" s="75">
        <f t="shared" si="64"/>
        <v>74425.825079999995</v>
      </c>
      <c r="AJ51" s="75">
        <f t="shared" si="64"/>
        <v>61426.23876</v>
      </c>
      <c r="AK51" s="75">
        <f t="shared" si="65"/>
        <v>0</v>
      </c>
      <c r="AL51" s="75">
        <f t="shared" si="66"/>
        <v>247719.25224</v>
      </c>
    </row>
    <row r="52" spans="1:41" s="58" customFormat="1" ht="26.25" customHeight="1" x14ac:dyDescent="0.2">
      <c r="A52" s="110" t="s">
        <v>139</v>
      </c>
      <c r="B52" s="60"/>
      <c r="C52" s="61"/>
      <c r="D52" s="61"/>
      <c r="E52" s="62"/>
      <c r="F52" s="61"/>
      <c r="G52" s="63"/>
      <c r="H52" s="64"/>
      <c r="I52" s="65"/>
      <c r="J52" s="61"/>
      <c r="K52" s="63"/>
      <c r="L52" s="155"/>
      <c r="M52" s="65"/>
      <c r="N52" s="66"/>
      <c r="O52" s="66"/>
      <c r="P52" s="152"/>
      <c r="Q52" s="68"/>
      <c r="R52" s="69"/>
      <c r="S52" s="65"/>
      <c r="T52" s="70"/>
      <c r="U52" s="329"/>
      <c r="V52" s="65"/>
      <c r="W52" s="71"/>
      <c r="X52" s="71"/>
      <c r="Y52" s="71"/>
      <c r="Z52" s="71"/>
      <c r="AA52" s="65"/>
      <c r="AB52" s="72"/>
      <c r="AC52" s="73"/>
      <c r="AD52" s="73"/>
      <c r="AE52" s="73"/>
      <c r="AF52" s="73"/>
      <c r="AG52" s="259"/>
      <c r="AH52" s="74"/>
      <c r="AI52" s="75"/>
      <c r="AJ52" s="75"/>
      <c r="AK52" s="75"/>
      <c r="AL52" s="75"/>
    </row>
    <row r="53" spans="1:41" s="58" customFormat="1" ht="36" x14ac:dyDescent="0.2">
      <c r="A53" s="251" t="s">
        <v>183</v>
      </c>
      <c r="B53" s="142" t="s">
        <v>136</v>
      </c>
      <c r="C53" s="246"/>
      <c r="D53" s="246"/>
      <c r="E53" s="147" t="s">
        <v>185</v>
      </c>
      <c r="F53" s="61">
        <v>28835</v>
      </c>
      <c r="G53" s="63">
        <v>42682</v>
      </c>
      <c r="H53" s="103" t="s">
        <v>90</v>
      </c>
      <c r="I53" s="65"/>
      <c r="J53" s="66" t="s">
        <v>135</v>
      </c>
      <c r="K53" s="156">
        <v>42711</v>
      </c>
      <c r="L53" s="157" t="s">
        <v>90</v>
      </c>
      <c r="M53" s="65"/>
      <c r="N53" s="66">
        <v>2018</v>
      </c>
      <c r="O53" s="66">
        <v>2058</v>
      </c>
      <c r="P53" s="152"/>
      <c r="Q53" s="68"/>
      <c r="R53" s="154" t="s">
        <v>140</v>
      </c>
      <c r="S53" s="65"/>
      <c r="T53" s="70"/>
      <c r="U53" s="329">
        <f>1354840+18930</f>
        <v>1373770</v>
      </c>
      <c r="V53" s="65"/>
      <c r="W53" s="242">
        <f t="shared" si="48"/>
        <v>31280.742900000001</v>
      </c>
      <c r="X53" s="242">
        <f t="shared" si="48"/>
        <v>20811.241729999998</v>
      </c>
      <c r="Y53" s="242">
        <f t="shared" si="48"/>
        <v>17176.246310000002</v>
      </c>
      <c r="Z53" s="242">
        <f t="shared" ref="Z53" si="86">+W53+X53+Y53</f>
        <v>69268.230940000009</v>
      </c>
      <c r="AA53" s="65"/>
      <c r="AB53" s="72"/>
      <c r="AC53" s="73"/>
      <c r="AD53" s="73">
        <v>51000</v>
      </c>
      <c r="AE53" s="73"/>
      <c r="AF53" s="249">
        <f t="shared" si="50"/>
        <v>51000</v>
      </c>
      <c r="AG53" s="259"/>
      <c r="AH53" s="250">
        <f t="shared" ref="AH53" si="87">+W53-AB53</f>
        <v>31280.742900000001</v>
      </c>
      <c r="AI53" s="248">
        <f t="shared" ref="AI53" si="88">+X53-AC53</f>
        <v>20811.241729999998</v>
      </c>
      <c r="AJ53" s="248">
        <f t="shared" ref="AJ53" si="89">+Y53-AD53</f>
        <v>-33823.753689999998</v>
      </c>
      <c r="AK53" s="248">
        <f t="shared" ref="AK53" si="90">-AE53</f>
        <v>0</v>
      </c>
      <c r="AL53" s="248">
        <f t="shared" ref="AL53" si="91">+Z53-AF53</f>
        <v>18268.230940000009</v>
      </c>
    </row>
    <row r="54" spans="1:41" s="58" customFormat="1" ht="4.5" customHeight="1" x14ac:dyDescent="0.2">
      <c r="A54" s="79"/>
      <c r="B54" s="80"/>
      <c r="C54" s="81"/>
      <c r="D54" s="81"/>
      <c r="E54" s="82"/>
      <c r="F54" s="81"/>
      <c r="G54" s="83"/>
      <c r="H54" s="84"/>
      <c r="I54" s="85"/>
      <c r="J54" s="81"/>
      <c r="K54" s="83"/>
      <c r="L54" s="88"/>
      <c r="M54" s="85"/>
      <c r="N54" s="158"/>
      <c r="O54" s="158"/>
      <c r="P54" s="159"/>
      <c r="Q54" s="91"/>
      <c r="R54" s="160"/>
      <c r="S54" s="85"/>
      <c r="T54" s="161"/>
      <c r="U54" s="85"/>
      <c r="V54" s="85"/>
      <c r="W54" s="94"/>
      <c r="X54" s="94"/>
      <c r="Y54" s="94"/>
      <c r="Z54" s="94"/>
      <c r="AA54" s="85"/>
      <c r="AB54" s="96"/>
      <c r="AC54" s="162"/>
      <c r="AD54" s="162"/>
      <c r="AE54" s="162"/>
      <c r="AF54" s="162"/>
      <c r="AG54" s="85"/>
      <c r="AH54" s="97"/>
      <c r="AI54" s="163"/>
      <c r="AJ54" s="163"/>
      <c r="AK54" s="163"/>
      <c r="AL54" s="163"/>
    </row>
    <row r="55" spans="1:41" ht="25.5" customHeight="1" thickBot="1" x14ac:dyDescent="0.25">
      <c r="R55" s="31"/>
      <c r="W55" s="26">
        <f>SUM(W5:W53)</f>
        <v>18323521.946559999</v>
      </c>
      <c r="X55" s="26">
        <f>SUM(X5:X53)</f>
        <v>11828154.336753</v>
      </c>
      <c r="Y55" s="26">
        <f>SUM(Y5:Y53)</f>
        <v>9762189.3671979979</v>
      </c>
      <c r="Z55" s="26">
        <f>SUM(Z5:Z53)</f>
        <v>39913865.650511004</v>
      </c>
      <c r="AB55" s="25">
        <f>SUM(AB5:AB53)</f>
        <v>3836538.3995163003</v>
      </c>
      <c r="AC55" s="25">
        <f>SUM(AC5:AC53)</f>
        <v>2228912.8189187087</v>
      </c>
      <c r="AD55" s="25">
        <f>SUM(AD5:AD53)</f>
        <v>8278270.5426319921</v>
      </c>
      <c r="AE55" s="25">
        <f>SUM(AE5:AE53)</f>
        <v>1022511.1063511519</v>
      </c>
      <c r="AF55" s="25">
        <f>SUM(AF5:AF53)</f>
        <v>15366232.867418149</v>
      </c>
      <c r="AH55" s="23">
        <f>SUM(AH5:AH53)</f>
        <v>14486983.547043702</v>
      </c>
      <c r="AI55" s="23">
        <f>SUM(AI5:AI53)</f>
        <v>9599241.5178342946</v>
      </c>
      <c r="AJ55" s="23">
        <f>SUM(AJ5:AJ53)</f>
        <v>1483918.8253747458</v>
      </c>
      <c r="AK55" s="23">
        <f>SUM(AK5:AK53)</f>
        <v>-1022511.1063511519</v>
      </c>
      <c r="AL55" s="23">
        <f>SUM(AL5:AL53)</f>
        <v>24547632.783092842</v>
      </c>
      <c r="AM55" s="3"/>
      <c r="AN55" s="3">
        <f t="shared" ref="AN55" si="92">+X55-AC55-AI55</f>
        <v>0</v>
      </c>
      <c r="AO55" s="3"/>
    </row>
    <row r="56" spans="1:41" ht="30.6" customHeight="1" thickTop="1" x14ac:dyDescent="0.2">
      <c r="A56" s="227" t="s">
        <v>221</v>
      </c>
      <c r="B56" s="39"/>
      <c r="C56" s="39"/>
      <c r="D56" s="39"/>
      <c r="E56" s="39"/>
      <c r="F56" s="39"/>
      <c r="G56" s="39"/>
      <c r="H56" s="39"/>
      <c r="I56" s="39"/>
      <c r="J56" s="39"/>
      <c r="K56" s="39"/>
      <c r="L56" s="39"/>
      <c r="M56" s="38"/>
      <c r="N56" s="37"/>
      <c r="O56" s="37"/>
      <c r="R56" s="31"/>
    </row>
    <row r="57" spans="1:41" ht="30.6" customHeight="1" x14ac:dyDescent="0.2">
      <c r="A57" s="277"/>
      <c r="B57" s="278"/>
      <c r="C57" s="278"/>
      <c r="D57" s="278"/>
      <c r="E57" s="278"/>
      <c r="F57" s="278"/>
      <c r="G57" s="278"/>
      <c r="H57" s="278"/>
      <c r="I57" s="278"/>
      <c r="J57" s="278"/>
      <c r="K57" s="278"/>
      <c r="L57" s="278"/>
      <c r="M57" s="38"/>
      <c r="N57" s="37"/>
      <c r="O57" s="37"/>
      <c r="R57" s="31"/>
      <c r="AB57" s="430"/>
      <c r="AC57" s="430"/>
      <c r="AD57" s="430"/>
      <c r="AE57" s="430"/>
      <c r="AF57" s="430"/>
    </row>
    <row r="58" spans="1:41" ht="15" customHeight="1" x14ac:dyDescent="0.2">
      <c r="R58" s="31"/>
    </row>
    <row r="59" spans="1:41" customFormat="1" ht="15" customHeight="1" thickBot="1" x14ac:dyDescent="0.25">
      <c r="A59" s="22"/>
      <c r="E59" s="15"/>
      <c r="F59" s="391" t="s">
        <v>52</v>
      </c>
      <c r="G59" s="391"/>
      <c r="H59" s="391"/>
      <c r="I59" s="36"/>
      <c r="J59" s="391" t="s">
        <v>53</v>
      </c>
      <c r="K59" s="391"/>
      <c r="L59" s="391"/>
      <c r="M59" s="36"/>
      <c r="N59" s="22"/>
      <c r="O59" s="22"/>
      <c r="Q59" s="32"/>
      <c r="R59" s="27"/>
      <c r="S59" s="1"/>
      <c r="T59" s="1"/>
      <c r="U59" s="34"/>
      <c r="V59" s="5"/>
      <c r="W59" s="202" t="s">
        <v>164</v>
      </c>
      <c r="X59" s="7"/>
      <c r="Y59" s="7"/>
      <c r="Z59" s="7"/>
      <c r="AA59" s="5"/>
      <c r="AB59" s="392" t="s">
        <v>197</v>
      </c>
      <c r="AC59" s="393"/>
      <c r="AD59" s="393"/>
      <c r="AE59" s="393"/>
      <c r="AF59" s="394"/>
      <c r="AG59" s="5"/>
      <c r="AH59" s="395" t="s">
        <v>165</v>
      </c>
      <c r="AI59" s="396"/>
      <c r="AJ59" s="396"/>
      <c r="AK59" s="396"/>
      <c r="AL59" s="397"/>
    </row>
    <row r="60" spans="1:41" s="15" customFormat="1" ht="24" customHeight="1" x14ac:dyDescent="0.2">
      <c r="A60" s="16" t="s">
        <v>0</v>
      </c>
      <c r="B60" s="8" t="s">
        <v>3</v>
      </c>
      <c r="C60" s="24" t="s">
        <v>8</v>
      </c>
      <c r="D60" s="24" t="s">
        <v>9</v>
      </c>
      <c r="E60" s="8" t="s">
        <v>73</v>
      </c>
      <c r="F60" s="8" t="s">
        <v>66</v>
      </c>
      <c r="G60" s="14" t="s">
        <v>5</v>
      </c>
      <c r="H60" s="14" t="s">
        <v>89</v>
      </c>
      <c r="I60" s="12"/>
      <c r="J60" s="8" t="s">
        <v>66</v>
      </c>
      <c r="K60" s="14" t="s">
        <v>5</v>
      </c>
      <c r="L60" s="14" t="s">
        <v>89</v>
      </c>
      <c r="M60" s="12"/>
      <c r="N60" s="16" t="s">
        <v>6</v>
      </c>
      <c r="O60" s="16" t="s">
        <v>7</v>
      </c>
      <c r="P60" s="16" t="s">
        <v>1</v>
      </c>
      <c r="Q60" s="30" t="s">
        <v>2</v>
      </c>
      <c r="R60" s="16" t="s">
        <v>103</v>
      </c>
      <c r="S60" s="12" t="s">
        <v>138</v>
      </c>
      <c r="T60" s="9" t="s">
        <v>4</v>
      </c>
      <c r="U60" s="12" t="s">
        <v>163</v>
      </c>
      <c r="V60" s="12"/>
      <c r="W60" s="11" t="s">
        <v>42</v>
      </c>
      <c r="X60" s="11" t="s">
        <v>43</v>
      </c>
      <c r="Y60" s="11" t="s">
        <v>44</v>
      </c>
      <c r="Z60" s="10" t="s">
        <v>198</v>
      </c>
      <c r="AA60" s="12"/>
      <c r="AB60" s="21" t="s">
        <v>204</v>
      </c>
      <c r="AC60" s="21" t="s">
        <v>205</v>
      </c>
      <c r="AD60" s="21" t="s">
        <v>206</v>
      </c>
      <c r="AE60" s="21" t="s">
        <v>195</v>
      </c>
      <c r="AF60" s="21" t="s">
        <v>166</v>
      </c>
      <c r="AG60" s="12"/>
      <c r="AH60" s="13" t="s">
        <v>48</v>
      </c>
      <c r="AI60" s="13" t="s">
        <v>49</v>
      </c>
      <c r="AJ60" s="13" t="s">
        <v>50</v>
      </c>
      <c r="AK60" s="13" t="s">
        <v>195</v>
      </c>
      <c r="AL60" s="13" t="s">
        <v>199</v>
      </c>
    </row>
    <row r="61" spans="1:41" ht="15" customHeight="1" x14ac:dyDescent="0.2">
      <c r="R61" s="31"/>
    </row>
    <row r="62" spans="1:41" ht="28.5" customHeight="1" x14ac:dyDescent="0.2">
      <c r="A62" s="110" t="s">
        <v>159</v>
      </c>
      <c r="R62" s="31"/>
    </row>
    <row r="63" spans="1:41" s="58" customFormat="1" ht="25.5" customHeight="1" x14ac:dyDescent="0.2">
      <c r="A63" s="200" t="s">
        <v>160</v>
      </c>
      <c r="B63" s="196"/>
      <c r="C63" s="102"/>
      <c r="D63" s="102"/>
      <c r="E63" s="197"/>
      <c r="F63" s="198">
        <v>27143</v>
      </c>
      <c r="G63" s="199">
        <v>41079</v>
      </c>
      <c r="H63" s="203" t="s">
        <v>90</v>
      </c>
      <c r="I63" s="195"/>
      <c r="J63" s="198" t="s">
        <v>167</v>
      </c>
      <c r="K63" s="199">
        <v>41066</v>
      </c>
      <c r="L63" s="153" t="s">
        <v>90</v>
      </c>
      <c r="M63" s="195"/>
      <c r="N63" s="192">
        <v>2013</v>
      </c>
      <c r="O63" s="192">
        <v>2032</v>
      </c>
      <c r="P63" s="193" t="s">
        <v>10</v>
      </c>
      <c r="Q63" s="193" t="s">
        <v>10</v>
      </c>
      <c r="R63" s="69" t="s">
        <v>162</v>
      </c>
      <c r="S63" s="193">
        <v>500000000</v>
      </c>
      <c r="T63" s="194"/>
      <c r="U63" s="313">
        <v>17487413</v>
      </c>
      <c r="V63" s="195"/>
      <c r="W63" s="307">
        <f>+$U63*W$1/100</f>
        <v>398188.39400999999</v>
      </c>
      <c r="X63" s="307">
        <f t="shared" ref="W63:Y65" si="93">+$U63*X$1/100</f>
        <v>264916.81953699997</v>
      </c>
      <c r="Y63" s="307">
        <f t="shared" si="93"/>
        <v>218645.12473899999</v>
      </c>
      <c r="Z63" s="307">
        <f t="shared" ref="Z63" si="94">+W63+X63+Y63</f>
        <v>881750.33828599995</v>
      </c>
      <c r="AA63" s="313"/>
      <c r="AB63" s="316">
        <f>ROUND(+(685500*0.02309)+(U63-685500)*0.003501,0)</f>
        <v>74652</v>
      </c>
      <c r="AC63" s="309">
        <f>ROUND(+(685500*(0.013926-0.004075))+(U63)*0.004319,0)</f>
        <v>82281</v>
      </c>
      <c r="AD63" s="309">
        <f>+U63*$Y$1/100</f>
        <v>218645.12473899999</v>
      </c>
      <c r="AE63" s="309">
        <f>ROUND((AH63+AI63+AJ63)*0.05,0)</f>
        <v>25309</v>
      </c>
      <c r="AF63" s="309">
        <f>SUM(AB63:AE63)</f>
        <v>400887.12473899999</v>
      </c>
      <c r="AG63" s="313"/>
      <c r="AH63" s="310">
        <f t="shared" ref="AH63" si="95">+W63-AB63</f>
        <v>323536.39400999999</v>
      </c>
      <c r="AI63" s="308">
        <f t="shared" ref="AI63" si="96">+X63-AC63</f>
        <v>182635.81953699997</v>
      </c>
      <c r="AJ63" s="308">
        <f t="shared" ref="AJ63" si="97">+Y63-AD63</f>
        <v>0</v>
      </c>
      <c r="AK63" s="308">
        <f t="shared" ref="AK63" si="98">-AE63</f>
        <v>-25309</v>
      </c>
      <c r="AL63" s="308">
        <f t="shared" ref="AL63" si="99">+Z63-AF63</f>
        <v>480863.21354699996</v>
      </c>
    </row>
    <row r="64" spans="1:41" s="58" customFormat="1" ht="25.5" customHeight="1" x14ac:dyDescent="0.2">
      <c r="A64" s="200" t="s">
        <v>161</v>
      </c>
      <c r="B64" s="196"/>
      <c r="C64" s="102"/>
      <c r="D64" s="102"/>
      <c r="E64" s="197"/>
      <c r="F64" s="198">
        <v>29336</v>
      </c>
      <c r="G64" s="199">
        <v>43151</v>
      </c>
      <c r="H64" s="201" t="s">
        <v>90</v>
      </c>
      <c r="I64" s="195"/>
      <c r="J64" s="198" t="s">
        <v>168</v>
      </c>
      <c r="K64" s="199">
        <v>43166</v>
      </c>
      <c r="L64" s="153" t="s">
        <v>90</v>
      </c>
      <c r="M64" s="195"/>
      <c r="N64" s="192">
        <v>2018</v>
      </c>
      <c r="O64" s="192">
        <v>2032</v>
      </c>
      <c r="P64" s="217">
        <v>92</v>
      </c>
      <c r="Q64" s="193" t="s">
        <v>10</v>
      </c>
      <c r="R64" s="69"/>
      <c r="S64" s="193" t="s">
        <v>10</v>
      </c>
      <c r="T64" s="194"/>
      <c r="U64" s="352">
        <v>10320248</v>
      </c>
      <c r="V64" s="195"/>
      <c r="W64" s="307">
        <f t="shared" si="93"/>
        <v>234992.04696000004</v>
      </c>
      <c r="X64" s="307">
        <f t="shared" si="93"/>
        <v>156341.43695199999</v>
      </c>
      <c r="Y64" s="307">
        <f t="shared" si="93"/>
        <v>129034.060744</v>
      </c>
      <c r="Z64" s="307">
        <f t="shared" ref="Z64" si="100">+W64+X64+Y64</f>
        <v>520367.54465600004</v>
      </c>
      <c r="AA64" s="313"/>
      <c r="AB64" s="316">
        <f>ROUND(+(2231247*0.02309)+(U64-2231247)*0.003501,0)</f>
        <v>79839</v>
      </c>
      <c r="AC64" s="309">
        <f>ROUND(+(2231247*(0.015149-0.004223))+(U64)*0.004319,0)</f>
        <v>68952</v>
      </c>
      <c r="AD64" s="309">
        <f>+U64*$Y$1/100</f>
        <v>129034.060744</v>
      </c>
      <c r="AE64" s="309">
        <f>ROUND((AH64+AI64+AJ64)*0.05,0)</f>
        <v>12127</v>
      </c>
      <c r="AF64" s="309">
        <f>SUM(AB64:AE64)</f>
        <v>289952.06074400002</v>
      </c>
      <c r="AG64" s="313"/>
      <c r="AH64" s="310">
        <f t="shared" ref="AH64" si="101">+W64-AB64</f>
        <v>155153.04696000004</v>
      </c>
      <c r="AI64" s="308">
        <f t="shared" ref="AI64" si="102">+X64-AC64</f>
        <v>87389.436951999989</v>
      </c>
      <c r="AJ64" s="308">
        <f t="shared" ref="AJ64" si="103">+Y64-AD64</f>
        <v>0</v>
      </c>
      <c r="AK64" s="308">
        <f t="shared" ref="AK64" si="104">-AE64</f>
        <v>-12127</v>
      </c>
      <c r="AL64" s="308">
        <f t="shared" ref="AL64" si="105">+Z64-AF64</f>
        <v>230415.48391200003</v>
      </c>
    </row>
    <row r="65" spans="1:41" s="58" customFormat="1" ht="39.75" customHeight="1" x14ac:dyDescent="0.2">
      <c r="A65" s="304" t="s">
        <v>210</v>
      </c>
      <c r="B65" s="302"/>
      <c r="C65" s="102"/>
      <c r="D65" s="102"/>
      <c r="E65" s="303"/>
      <c r="F65" s="314">
        <v>30103</v>
      </c>
      <c r="G65" s="101">
        <v>43753</v>
      </c>
      <c r="H65" s="153" t="s">
        <v>90</v>
      </c>
      <c r="I65" s="315"/>
      <c r="J65" s="314" t="s">
        <v>211</v>
      </c>
      <c r="K65" s="101">
        <v>43817</v>
      </c>
      <c r="L65" s="153" t="s">
        <v>90</v>
      </c>
      <c r="M65" s="315"/>
      <c r="N65" s="314">
        <v>2020</v>
      </c>
      <c r="O65" s="311">
        <v>2040</v>
      </c>
      <c r="P65" s="312" t="s">
        <v>10</v>
      </c>
      <c r="Q65" s="312" t="s">
        <v>10</v>
      </c>
      <c r="R65" s="69" t="s">
        <v>212</v>
      </c>
      <c r="S65" s="312" t="s">
        <v>10</v>
      </c>
      <c r="T65" s="306"/>
      <c r="U65" s="352">
        <v>591000</v>
      </c>
      <c r="V65" s="300"/>
      <c r="W65" s="296">
        <f t="shared" si="93"/>
        <v>13457.07</v>
      </c>
      <c r="X65" s="296">
        <f t="shared" si="93"/>
        <v>8953.0589999999993</v>
      </c>
      <c r="Y65" s="296">
        <f t="shared" si="93"/>
        <v>7389.2729999999992</v>
      </c>
      <c r="Z65" s="296">
        <f t="shared" ref="Z65" si="106">+W65+X65+Y65</f>
        <v>29799.402000000002</v>
      </c>
      <c r="AA65" s="300"/>
      <c r="AB65" s="351">
        <f>ROUND(+(0*0.02277)+(U65-0)*0.003501,0)</f>
        <v>2069</v>
      </c>
      <c r="AC65" s="351">
        <f>ROUND(+(0*(0.015149-0.004612))+(U65)*0.004319,0)</f>
        <v>2553</v>
      </c>
      <c r="AD65" s="298">
        <f>+U65*$Y$1/100</f>
        <v>7389.2729999999992</v>
      </c>
      <c r="AE65" s="298">
        <f>ROUND((AH65+AI65+AJ65)*0.05,0)</f>
        <v>889</v>
      </c>
      <c r="AF65" s="298">
        <f>SUM(AB65:AE65)</f>
        <v>12900.272999999999</v>
      </c>
      <c r="AG65" s="300"/>
      <c r="AH65" s="299">
        <f t="shared" ref="AH65" si="107">+W65-AB65</f>
        <v>11388.07</v>
      </c>
      <c r="AI65" s="297">
        <f t="shared" ref="AI65" si="108">+X65-AC65</f>
        <v>6400.0589999999993</v>
      </c>
      <c r="AJ65" s="297">
        <f t="shared" ref="AJ65" si="109">+Y65-AD65</f>
        <v>0</v>
      </c>
      <c r="AK65" s="297">
        <f t="shared" ref="AK65" si="110">-AE65</f>
        <v>-889</v>
      </c>
      <c r="AL65" s="297">
        <f t="shared" ref="AL65" si="111">+Z65-AF65</f>
        <v>16899.129000000001</v>
      </c>
    </row>
    <row r="66" spans="1:41" s="58" customFormat="1" ht="4.5" customHeight="1" x14ac:dyDescent="0.2">
      <c r="A66" s="79"/>
      <c r="B66" s="80"/>
      <c r="C66" s="81"/>
      <c r="D66" s="81"/>
      <c r="E66" s="82"/>
      <c r="F66" s="81"/>
      <c r="G66" s="83"/>
      <c r="H66" s="84"/>
      <c r="I66" s="85"/>
      <c r="J66" s="81"/>
      <c r="K66" s="83"/>
      <c r="L66" s="88"/>
      <c r="M66" s="85"/>
      <c r="N66" s="158"/>
      <c r="O66" s="158"/>
      <c r="P66" s="159"/>
      <c r="Q66" s="91"/>
      <c r="R66" s="160"/>
      <c r="S66" s="85"/>
      <c r="T66" s="161"/>
      <c r="U66" s="85"/>
      <c r="V66" s="85"/>
      <c r="W66" s="94"/>
      <c r="X66" s="94"/>
      <c r="Y66" s="94"/>
      <c r="Z66" s="94"/>
      <c r="AA66" s="85"/>
      <c r="AB66" s="96"/>
      <c r="AC66" s="162"/>
      <c r="AD66" s="162"/>
      <c r="AE66" s="162"/>
      <c r="AF66" s="162"/>
      <c r="AG66" s="85"/>
      <c r="AH66" s="97"/>
      <c r="AI66" s="163"/>
      <c r="AJ66" s="163"/>
      <c r="AK66" s="163"/>
      <c r="AL66" s="163"/>
    </row>
    <row r="67" spans="1:41" ht="25.5" customHeight="1" thickBot="1" x14ac:dyDescent="0.25">
      <c r="R67" s="31"/>
      <c r="W67" s="26">
        <f>SUM(W63:W66)</f>
        <v>646637.51096999994</v>
      </c>
      <c r="X67" s="26">
        <f t="shared" ref="X67:Z67" si="112">SUM(X63:X66)</f>
        <v>430211.31548899994</v>
      </c>
      <c r="Y67" s="26">
        <f t="shared" si="112"/>
        <v>355068.45848299999</v>
      </c>
      <c r="Z67" s="26">
        <f t="shared" si="112"/>
        <v>1431917.2849419999</v>
      </c>
      <c r="AB67" s="25">
        <f>SUM(AB63:AB66)</f>
        <v>156560</v>
      </c>
      <c r="AC67" s="25">
        <f>SUM(AC63:AC66)</f>
        <v>153786</v>
      </c>
      <c r="AD67" s="25">
        <f t="shared" ref="AD67:AF67" si="113">SUM(AD63:AD66)</f>
        <v>355068.45848299999</v>
      </c>
      <c r="AE67" s="25">
        <f t="shared" si="113"/>
        <v>38325</v>
      </c>
      <c r="AF67" s="25">
        <f t="shared" si="113"/>
        <v>703739.45848300005</v>
      </c>
      <c r="AH67" s="23">
        <f>SUM(AH63:AH66)</f>
        <v>490077.51097</v>
      </c>
      <c r="AI67" s="23">
        <f t="shared" ref="AI67:AL67" si="114">SUM(AI63:AI66)</f>
        <v>276425.31548899994</v>
      </c>
      <c r="AJ67" s="23">
        <f t="shared" si="114"/>
        <v>0</v>
      </c>
      <c r="AK67" s="23">
        <f t="shared" si="114"/>
        <v>-38325</v>
      </c>
      <c r="AL67" s="23">
        <f t="shared" si="114"/>
        <v>728177.82645899989</v>
      </c>
      <c r="AM67" s="3"/>
      <c r="AN67" s="3">
        <f t="shared" ref="AN67" si="115">+X67-AC67-AI67</f>
        <v>0</v>
      </c>
      <c r="AO67" s="3"/>
    </row>
    <row r="68" spans="1:41" ht="15" customHeight="1" thickTop="1" x14ac:dyDescent="0.2">
      <c r="R68" s="31"/>
    </row>
    <row r="69" spans="1:41" ht="15" customHeight="1" x14ac:dyDescent="0.2">
      <c r="E69" s="22"/>
      <c r="I69" s="22"/>
      <c r="R69" s="31"/>
    </row>
    <row r="70" spans="1:41" ht="15" customHeight="1" x14ac:dyDescent="0.2">
      <c r="R70" s="31"/>
      <c r="AB70" s="353"/>
    </row>
    <row r="71" spans="1:41" ht="15" customHeight="1" x14ac:dyDescent="0.2">
      <c r="R71" s="31"/>
      <c r="AB71" s="353"/>
    </row>
    <row r="72" spans="1:41" ht="15" customHeight="1" x14ac:dyDescent="0.2">
      <c r="R72" s="31"/>
      <c r="AB72" s="353"/>
    </row>
    <row r="73" spans="1:41" ht="15" customHeight="1" x14ac:dyDescent="0.2">
      <c r="R73" s="31"/>
    </row>
    <row r="74" spans="1:41" ht="15" customHeight="1" x14ac:dyDescent="0.2">
      <c r="R74" s="31"/>
    </row>
    <row r="75" spans="1:41" ht="15" customHeight="1" x14ac:dyDescent="0.2">
      <c r="R75" s="31"/>
    </row>
    <row r="76" spans="1:41" ht="15" customHeight="1" x14ac:dyDescent="0.2">
      <c r="R76" s="31"/>
    </row>
    <row r="77" spans="1:41" ht="15" customHeight="1" x14ac:dyDescent="0.2">
      <c r="R77" s="31"/>
    </row>
    <row r="78" spans="1:41" ht="15" customHeight="1" x14ac:dyDescent="0.2">
      <c r="R78" s="31"/>
    </row>
    <row r="79" spans="1:41" ht="15" customHeight="1" x14ac:dyDescent="0.2">
      <c r="R79" s="31"/>
    </row>
    <row r="80" spans="1:41"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row r="119" spans="18:18" ht="15" customHeight="1" x14ac:dyDescent="0.2">
      <c r="R119" s="31"/>
    </row>
    <row r="120" spans="18:18" ht="15" customHeight="1" x14ac:dyDescent="0.2">
      <c r="R120" s="31"/>
    </row>
  </sheetData>
  <autoFilter ref="A3:AL53"/>
  <mergeCells count="108">
    <mergeCell ref="F59:H59"/>
    <mergeCell ref="J59:L59"/>
    <mergeCell ref="AB59:AF59"/>
    <mergeCell ref="AH59:AL59"/>
    <mergeCell ref="H29:H30"/>
    <mergeCell ref="N29:N30"/>
    <mergeCell ref="O29:O30"/>
    <mergeCell ref="P29:P30"/>
    <mergeCell ref="Q29:Q30"/>
    <mergeCell ref="S29:S30"/>
    <mergeCell ref="U29:U30"/>
    <mergeCell ref="W29:W30"/>
    <mergeCell ref="X29:X30"/>
    <mergeCell ref="Y29:Y30"/>
    <mergeCell ref="Z29:Z30"/>
    <mergeCell ref="AB29:AB30"/>
    <mergeCell ref="AC29:AC30"/>
    <mergeCell ref="AD29:AD30"/>
    <mergeCell ref="AF29:AF30"/>
    <mergeCell ref="AB57:AF57"/>
    <mergeCell ref="AL29:AL30"/>
    <mergeCell ref="AH29:AH30"/>
    <mergeCell ref="AI29:AI30"/>
    <mergeCell ref="AJ29:AJ30"/>
    <mergeCell ref="H21:H22"/>
    <mergeCell ref="AC21:AC22"/>
    <mergeCell ref="AD21:AD22"/>
    <mergeCell ref="AE21:AE22"/>
    <mergeCell ref="AF21:AF22"/>
    <mergeCell ref="AH21:AH22"/>
    <mergeCell ref="U23:U25"/>
    <mergeCell ref="W23:W25"/>
    <mergeCell ref="X23:X25"/>
    <mergeCell ref="Y23:Y25"/>
    <mergeCell ref="Z23:Z25"/>
    <mergeCell ref="AC23:AC25"/>
    <mergeCell ref="AD23:AD25"/>
    <mergeCell ref="AE23:AE25"/>
    <mergeCell ref="AF23:AF25"/>
    <mergeCell ref="AH23:AH25"/>
    <mergeCell ref="N23:N25"/>
    <mergeCell ref="O23:O25"/>
    <mergeCell ref="P23:P25"/>
    <mergeCell ref="Q23:Q25"/>
    <mergeCell ref="R23:R25"/>
    <mergeCell ref="S23:S25"/>
    <mergeCell ref="F2:H2"/>
    <mergeCell ref="J2:L2"/>
    <mergeCell ref="AB2:AF2"/>
    <mergeCell ref="AH2:AL2"/>
    <mergeCell ref="A21:A22"/>
    <mergeCell ref="N21:N22"/>
    <mergeCell ref="O21:O22"/>
    <mergeCell ref="P21:P22"/>
    <mergeCell ref="Q21:Q22"/>
    <mergeCell ref="S21:S22"/>
    <mergeCell ref="U21:U22"/>
    <mergeCell ref="W21:W22"/>
    <mergeCell ref="X21:X22"/>
    <mergeCell ref="Y21:Y22"/>
    <mergeCell ref="Z21:Z22"/>
    <mergeCell ref="AB21:AB22"/>
    <mergeCell ref="AI21:AI22"/>
    <mergeCell ref="AJ21:AJ22"/>
    <mergeCell ref="AK21:AK22"/>
    <mergeCell ref="AL21:AL22"/>
    <mergeCell ref="B21:B22"/>
    <mergeCell ref="E21:E22"/>
    <mergeCell ref="F21:F22"/>
    <mergeCell ref="G21:G22"/>
    <mergeCell ref="A29:A30"/>
    <mergeCell ref="B29:B30"/>
    <mergeCell ref="E29:E30"/>
    <mergeCell ref="F29:F30"/>
    <mergeCell ref="G29:G30"/>
    <mergeCell ref="AK29:AK30"/>
    <mergeCell ref="A23:A25"/>
    <mergeCell ref="B23:B25"/>
    <mergeCell ref="E23:E25"/>
    <mergeCell ref="A26:A27"/>
    <mergeCell ref="B26:B27"/>
    <mergeCell ref="E26:E27"/>
    <mergeCell ref="N26:N27"/>
    <mergeCell ref="O26:O27"/>
    <mergeCell ref="X26:X27"/>
    <mergeCell ref="Y26:Y27"/>
    <mergeCell ref="Z26:Z27"/>
    <mergeCell ref="AB26:AB27"/>
    <mergeCell ref="AC26:AC27"/>
    <mergeCell ref="P26:P27"/>
    <mergeCell ref="Q26:Q27"/>
    <mergeCell ref="S26:S27"/>
    <mergeCell ref="U26:U27"/>
    <mergeCell ref="W26:W27"/>
    <mergeCell ref="AI23:AI25"/>
    <mergeCell ref="AJ23:AJ25"/>
    <mergeCell ref="AK23:AK25"/>
    <mergeCell ref="AL23:AL25"/>
    <mergeCell ref="AB23:AB25"/>
    <mergeCell ref="AJ26:AJ27"/>
    <mergeCell ref="AK26:AK27"/>
    <mergeCell ref="AL26:AL27"/>
    <mergeCell ref="AD26:AD27"/>
    <mergeCell ref="AE26:AE27"/>
    <mergeCell ref="AF26:AF27"/>
    <mergeCell ref="AH26:AH27"/>
    <mergeCell ref="AI26:AI27"/>
    <mergeCell ref="AE29:AE30"/>
  </mergeCells>
  <hyperlinks>
    <hyperlink ref="H8" r:id="rId1"/>
    <hyperlink ref="H6" r:id="rId2"/>
    <hyperlink ref="H21" r:id="rId3"/>
    <hyperlink ref="H11" r:id="rId4"/>
    <hyperlink ref="H12" r:id="rId5"/>
    <hyperlink ref="H13" r:id="rId6"/>
    <hyperlink ref="H14" r:id="rId7"/>
    <hyperlink ref="H15" r:id="rId8"/>
    <hyperlink ref="H17" r:id="rId9"/>
    <hyperlink ref="H18" r:id="rId10"/>
    <hyperlink ref="H31" r:id="rId11"/>
    <hyperlink ref="H32" r:id="rId12"/>
    <hyperlink ref="H42" r:id="rId13"/>
    <hyperlink ref="H45" r:id="rId14"/>
    <hyperlink ref="H49" r:id="rId15"/>
    <hyperlink ref="H50" r:id="rId16"/>
    <hyperlink ref="H51" r:id="rId17"/>
    <hyperlink ref="H34" r:id="rId18"/>
    <hyperlink ref="L34" r:id="rId19"/>
    <hyperlink ref="L51" r:id="rId20"/>
    <hyperlink ref="L8" r:id="rId21"/>
    <hyperlink ref="L6" r:id="rId22"/>
    <hyperlink ref="L11" r:id="rId23"/>
    <hyperlink ref="L12" r:id="rId24"/>
    <hyperlink ref="L13" r:id="rId25"/>
    <hyperlink ref="L14" r:id="rId26"/>
    <hyperlink ref="L15" r:id="rId27"/>
    <hyperlink ref="L17" r:id="rId28"/>
    <hyperlink ref="L18" r:id="rId29"/>
    <hyperlink ref="L31" r:id="rId30"/>
    <hyperlink ref="L32" r:id="rId31"/>
    <hyperlink ref="L42" r:id="rId32"/>
    <hyperlink ref="L45" r:id="rId33"/>
    <hyperlink ref="L49" r:id="rId34"/>
    <hyperlink ref="L50" r:id="rId35"/>
    <hyperlink ref="H41" r:id="rId36"/>
    <hyperlink ref="L41" r:id="rId37"/>
    <hyperlink ref="H23" r:id="rId38"/>
    <hyperlink ref="H9" r:id="rId39"/>
    <hyperlink ref="L38" r:id="rId40"/>
    <hyperlink ref="L23" r:id="rId41"/>
    <hyperlink ref="L9" r:id="rId42"/>
    <hyperlink ref="L16" r:id="rId43"/>
    <hyperlink ref="H38" r:id="rId44"/>
    <hyperlink ref="H16" r:id="rId45"/>
    <hyperlink ref="L21" r:id="rId46"/>
    <hyperlink ref="L22" r:id="rId47"/>
    <hyperlink ref="L30" r:id="rId48"/>
    <hyperlink ref="H24" r:id="rId49"/>
    <hyperlink ref="L24" r:id="rId50"/>
    <hyperlink ref="L35" r:id="rId51"/>
    <hyperlink ref="H19" r:id="rId52"/>
    <hyperlink ref="L19" r:id="rId53"/>
    <hyperlink ref="H40" r:id="rId54"/>
    <hyperlink ref="L40" r:id="rId55"/>
    <hyperlink ref="L29" r:id="rId56"/>
    <hyperlink ref="H29:H30" r:id="rId57" display="View"/>
    <hyperlink ref="L5" r:id="rId58"/>
    <hyperlink ref="H5" r:id="rId59"/>
    <hyperlink ref="L46" r:id="rId60"/>
    <hyperlink ref="L53" r:id="rId61"/>
    <hyperlink ref="H53" r:id="rId62"/>
    <hyperlink ref="H46" r:id="rId63"/>
    <hyperlink ref="H7" r:id="rId64"/>
    <hyperlink ref="L7" r:id="rId65"/>
    <hyperlink ref="H10" r:id="rId66"/>
    <hyperlink ref="L10" r:id="rId67"/>
    <hyperlink ref="L48" r:id="rId68"/>
    <hyperlink ref="H48" r:id="rId69"/>
    <hyperlink ref="H47" r:id="rId70"/>
    <hyperlink ref="L47" r:id="rId71"/>
    <hyperlink ref="L63" r:id="rId72"/>
    <hyperlink ref="L64" r:id="rId73"/>
    <hyperlink ref="H64" r:id="rId74"/>
    <hyperlink ref="H63" r:id="rId75"/>
    <hyperlink ref="L39" r:id="rId76"/>
    <hyperlink ref="H39" r:id="rId77"/>
    <hyperlink ref="L44" r:id="rId78"/>
    <hyperlink ref="H44" r:id="rId79"/>
    <hyperlink ref="H26" r:id="rId80"/>
    <hyperlink ref="L26" r:id="rId81"/>
    <hyperlink ref="H43" r:id="rId82"/>
    <hyperlink ref="L43" r:id="rId83"/>
    <hyperlink ref="L25" r:id="rId84"/>
    <hyperlink ref="H25" r:id="rId85"/>
    <hyperlink ref="H65" r:id="rId86"/>
    <hyperlink ref="L65" r:id="rId87"/>
    <hyperlink ref="L36" r:id="rId88"/>
    <hyperlink ref="L28" r:id="rId89"/>
    <hyperlink ref="H35" r:id="rId90"/>
    <hyperlink ref="H36" r:id="rId91"/>
  </hyperlinks>
  <pageMargins left="0.17" right="0.17" top="0.25" bottom="0.25" header="0" footer="0"/>
  <pageSetup paperSize="17" scale="29" fitToHeight="0" orientation="landscape" r:id="rId92"/>
  <ignoredErrors>
    <ignoredError sqref="Y15 AD11" formula="1"/>
    <ignoredError sqref="G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21 with notes (tax year 2020</vt:lpstr>
      <vt:lpstr>'FY 21 with notes (tax year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2019-10-15T18:36:57Z</cp:lastPrinted>
  <dcterms:created xsi:type="dcterms:W3CDTF">2015-03-25T18:15:22Z</dcterms:created>
  <dcterms:modified xsi:type="dcterms:W3CDTF">2021-02-09T18:09:18Z</dcterms:modified>
</cp:coreProperties>
</file>