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cdc\finance\OfficeFiles\PILOT Agreements\PILOT Agreements - Annual Spreadsheets\"/>
    </mc:Choice>
  </mc:AlternateContent>
  <bookViews>
    <workbookView xWindow="-15" yWindow="-15" windowWidth="24000" windowHeight="9330"/>
  </bookViews>
  <sheets>
    <sheet name="FY 22 with notes (tax year 2021" sheetId="9" r:id="rId1"/>
  </sheets>
  <definedNames>
    <definedName name="_xlnm._FilterDatabase" localSheetId="0" hidden="1">'FY 22 with notes (tax year 2021'!$A$3:$AL$53</definedName>
    <definedName name="_xlnm.Print_Area" localSheetId="0">'FY 22 with notes (tax year 2021'!$A$1:$AL$69</definedName>
  </definedNames>
  <calcPr calcId="162913"/>
</workbook>
</file>

<file path=xl/calcChain.xml><?xml version="1.0" encoding="utf-8"?>
<calcChain xmlns="http://schemas.openxmlformats.org/spreadsheetml/2006/main">
  <c r="AB67" i="9" l="1"/>
  <c r="AB66" i="9"/>
  <c r="AB65" i="9"/>
  <c r="AC67" i="9"/>
  <c r="AC66" i="9"/>
  <c r="AC65" i="9"/>
  <c r="AK34" i="9" l="1"/>
  <c r="AH16" i="9"/>
  <c r="AI16" i="9"/>
  <c r="AK16" i="9"/>
  <c r="AD16" i="9"/>
  <c r="AJ16" i="9" s="1"/>
  <c r="U30" i="9"/>
  <c r="U17" i="9"/>
  <c r="U48" i="9"/>
  <c r="U49" i="9"/>
  <c r="U50" i="9"/>
  <c r="U47" i="9"/>
  <c r="U15" i="9"/>
  <c r="U53" i="9"/>
  <c r="U45" i="9"/>
  <c r="AC11" i="9"/>
  <c r="AB11" i="9"/>
  <c r="U11" i="9"/>
  <c r="U43" i="9"/>
  <c r="U42" i="9"/>
  <c r="AB42" i="9"/>
  <c r="U34" i="9"/>
  <c r="Y34" i="9" s="1"/>
  <c r="AD34" i="9" s="1"/>
  <c r="AF34" i="9" s="1"/>
  <c r="U33" i="9"/>
  <c r="W33" i="9" s="1"/>
  <c r="AB33" i="9" s="1"/>
  <c r="U36" i="9"/>
  <c r="U26" i="9"/>
  <c r="U10" i="9"/>
  <c r="U41" i="9"/>
  <c r="U23" i="9"/>
  <c r="U9" i="9"/>
  <c r="AC21" i="9"/>
  <c r="AB21" i="9"/>
  <c r="U21" i="9"/>
  <c r="U40" i="9"/>
  <c r="U8" i="9"/>
  <c r="U7" i="9"/>
  <c r="X1" i="9"/>
  <c r="AD49" i="9" s="1"/>
  <c r="AJ34" i="9" l="1"/>
  <c r="AF16" i="9"/>
  <c r="AL16" i="9" s="1"/>
  <c r="W34" i="9"/>
  <c r="AH34" i="9" s="1"/>
  <c r="AD50" i="9"/>
  <c r="X34" i="9"/>
  <c r="AI34" i="9" s="1"/>
  <c r="AC50" i="9"/>
  <c r="AC42" i="9"/>
  <c r="AD42" i="9" s="1"/>
  <c r="U37" i="9"/>
  <c r="W37" i="9"/>
  <c r="Z34" i="9" l="1"/>
  <c r="AL34" i="9" s="1"/>
  <c r="W17" i="9" l="1"/>
  <c r="AE27" i="9"/>
  <c r="U32" i="9"/>
  <c r="W32" i="9" s="1"/>
  <c r="AK40" i="9"/>
  <c r="W65" i="9" l="1"/>
  <c r="AD67" i="9" l="1"/>
  <c r="Y67" i="9"/>
  <c r="W67" i="9"/>
  <c r="AK43" i="9"/>
  <c r="Y43" i="9"/>
  <c r="AD43" i="9" s="1"/>
  <c r="AF43" i="9" s="1"/>
  <c r="W43" i="9"/>
  <c r="AJ67" i="9" l="1"/>
  <c r="AH67" i="9"/>
  <c r="AJ43" i="9"/>
  <c r="AH43" i="9"/>
  <c r="AK45" i="9" l="1"/>
  <c r="W45" i="9"/>
  <c r="AB32" i="9"/>
  <c r="W10" i="9"/>
  <c r="AB10" i="9" s="1"/>
  <c r="Y45" i="9" l="1"/>
  <c r="AH45" i="9"/>
  <c r="Y10" i="9"/>
  <c r="AD10" i="9" s="1"/>
  <c r="P23" i="9"/>
  <c r="S23" i="9"/>
  <c r="AD45" i="9" l="1"/>
  <c r="AF45" i="9" s="1"/>
  <c r="AC69" i="9"/>
  <c r="AJ45" i="9" l="1"/>
  <c r="AB69" i="9"/>
  <c r="AD66" i="9"/>
  <c r="AD65" i="9"/>
  <c r="AD69" i="9" l="1"/>
  <c r="Y66" i="9"/>
  <c r="AJ66" i="9" s="1"/>
  <c r="W66" i="9"/>
  <c r="AH66" i="9" l="1"/>
  <c r="AJ10" i="9"/>
  <c r="AH10" i="9"/>
  <c r="AF53" i="9" l="1"/>
  <c r="AK53" i="9"/>
  <c r="W9" i="9" l="1"/>
  <c r="AB9" i="9" s="1"/>
  <c r="Y9" i="9"/>
  <c r="AD9" i="9" l="1"/>
  <c r="AJ9" i="9" s="1"/>
  <c r="AH9" i="9"/>
  <c r="Y53" i="9"/>
  <c r="AJ53" i="9" s="1"/>
  <c r="W53" i="9"/>
  <c r="AH53" i="9" l="1"/>
  <c r="AB37" i="9" l="1"/>
  <c r="AH37" i="9" s="1"/>
  <c r="AK37" i="9"/>
  <c r="Y37" i="9"/>
  <c r="AD37" i="9" l="1"/>
  <c r="AJ37" i="9" s="1"/>
  <c r="W26" i="9" l="1"/>
  <c r="AB26" i="9" l="1"/>
  <c r="AH26" i="9" s="1"/>
  <c r="Y26" i="9"/>
  <c r="AD26" i="9" l="1"/>
  <c r="AJ26" i="9" s="1"/>
  <c r="AH33" i="9"/>
  <c r="Y33" i="9"/>
  <c r="W8" i="9"/>
  <c r="AB8" i="9" l="1"/>
  <c r="Y8" i="9"/>
  <c r="AD33" i="9"/>
  <c r="Y65" i="9"/>
  <c r="W69" i="9" l="1"/>
  <c r="AH65" i="9"/>
  <c r="Y69" i="9"/>
  <c r="AJ65" i="9"/>
  <c r="AJ33" i="9"/>
  <c r="Y19" i="9"/>
  <c r="W19" i="9"/>
  <c r="AB19" i="9" s="1"/>
  <c r="AJ69" i="9" l="1"/>
  <c r="AE19" i="9"/>
  <c r="AK19" i="9" s="1"/>
  <c r="AH19" i="9"/>
  <c r="AH69" i="9"/>
  <c r="AD19" i="9"/>
  <c r="AJ19" i="9" s="1"/>
  <c r="AK47" i="9"/>
  <c r="Y47" i="9"/>
  <c r="AD47" i="9" s="1"/>
  <c r="AF47" i="9" s="1"/>
  <c r="W47" i="9"/>
  <c r="AH47" i="9" s="1"/>
  <c r="AJ47" i="9" l="1"/>
  <c r="Y23" i="9"/>
  <c r="W23" i="9"/>
  <c r="AB23" i="9" l="1"/>
  <c r="AH23" i="9" s="1"/>
  <c r="AD23" i="9"/>
  <c r="AK36" i="9"/>
  <c r="W36" i="9"/>
  <c r="AH36" i="9" s="1"/>
  <c r="Y36" i="9"/>
  <c r="X67" i="9" l="1"/>
  <c r="X43" i="9"/>
  <c r="AC49" i="9"/>
  <c r="X45" i="9"/>
  <c r="X10" i="9"/>
  <c r="X32" i="9"/>
  <c r="AC32" i="9" s="1"/>
  <c r="X66" i="9"/>
  <c r="X9" i="9"/>
  <c r="X53" i="9"/>
  <c r="X37" i="9"/>
  <c r="X26" i="9"/>
  <c r="AD36" i="9"/>
  <c r="AF36" i="9" s="1"/>
  <c r="X33" i="9"/>
  <c r="AC33" i="9" s="1"/>
  <c r="X65" i="9"/>
  <c r="X19" i="9"/>
  <c r="AC19" i="9" s="1"/>
  <c r="X36" i="9"/>
  <c r="AI36" i="9" s="1"/>
  <c r="X47" i="9"/>
  <c r="X23" i="9"/>
  <c r="AE23" i="9" s="1"/>
  <c r="AJ23" i="9"/>
  <c r="AE10" i="9" l="1"/>
  <c r="AC10" i="9"/>
  <c r="AI10" i="9" s="1"/>
  <c r="AE26" i="9"/>
  <c r="AK26" i="9" s="1"/>
  <c r="AC26" i="9"/>
  <c r="AC9" i="9"/>
  <c r="AE9" i="9"/>
  <c r="AK9" i="9" s="1"/>
  <c r="AI67" i="9"/>
  <c r="Z67" i="9"/>
  <c r="AI43" i="9"/>
  <c r="Z43" i="9"/>
  <c r="AL43" i="9" s="1"/>
  <c r="AI33" i="9"/>
  <c r="AE33" i="9"/>
  <c r="AK33" i="9" s="1"/>
  <c r="AC23" i="9"/>
  <c r="AI23" i="9" s="1"/>
  <c r="AI45" i="9"/>
  <c r="Z45" i="9"/>
  <c r="AL45" i="9" s="1"/>
  <c r="AK23" i="9"/>
  <c r="Z10" i="9"/>
  <c r="Z26" i="9"/>
  <c r="Z37" i="9"/>
  <c r="AC37" i="9"/>
  <c r="AF37" i="9" s="1"/>
  <c r="Z9" i="9"/>
  <c r="AI53" i="9"/>
  <c r="Z53" i="9"/>
  <c r="AL53" i="9" s="1"/>
  <c r="AI66" i="9"/>
  <c r="Z66" i="9"/>
  <c r="Z65" i="9"/>
  <c r="AI65" i="9"/>
  <c r="X69" i="9"/>
  <c r="AF19" i="9"/>
  <c r="Z19" i="9"/>
  <c r="Z36" i="9"/>
  <c r="AL36" i="9" s="1"/>
  <c r="Z33" i="9"/>
  <c r="AJ36" i="9"/>
  <c r="Z23" i="9"/>
  <c r="AI47" i="9"/>
  <c r="Z47" i="9"/>
  <c r="AL47" i="9" s="1"/>
  <c r="W48" i="9"/>
  <c r="AK48" i="9"/>
  <c r="AE67" i="9" l="1"/>
  <c r="AF67" i="9" s="1"/>
  <c r="AL67" i="9" s="1"/>
  <c r="AE65" i="9"/>
  <c r="AE66" i="9"/>
  <c r="AF9" i="9"/>
  <c r="AL9" i="9" s="1"/>
  <c r="AF33" i="9"/>
  <c r="AL33" i="9" s="1"/>
  <c r="AF10" i="9"/>
  <c r="AL10" i="9" s="1"/>
  <c r="AK10" i="9"/>
  <c r="AL37" i="9"/>
  <c r="AI9" i="9"/>
  <c r="Z69" i="9"/>
  <c r="AI37" i="9"/>
  <c r="AF23" i="9"/>
  <c r="AL23" i="9" s="1"/>
  <c r="AI26" i="9"/>
  <c r="AF26" i="9"/>
  <c r="AL26" i="9" s="1"/>
  <c r="AI69" i="9"/>
  <c r="AL19" i="9"/>
  <c r="AI19" i="9"/>
  <c r="AH48" i="9"/>
  <c r="Y48" i="9"/>
  <c r="AD48" i="9" s="1"/>
  <c r="AF48" i="9" s="1"/>
  <c r="AK7" i="9"/>
  <c r="Y7" i="9"/>
  <c r="AE69" i="9" l="1"/>
  <c r="AK67" i="9"/>
  <c r="AK66" i="9"/>
  <c r="AF66" i="9"/>
  <c r="AL66" i="9" s="1"/>
  <c r="AF65" i="9"/>
  <c r="AK65" i="9"/>
  <c r="AJ48" i="9"/>
  <c r="AD7" i="9"/>
  <c r="AJ7" i="9" s="1"/>
  <c r="W7" i="9"/>
  <c r="AF69" i="9" l="1"/>
  <c r="AK69" i="9"/>
  <c r="AL65" i="9"/>
  <c r="AL69" i="9" s="1"/>
  <c r="AB7" i="9"/>
  <c r="AH7" i="9" l="1"/>
  <c r="Y5" i="9" l="1"/>
  <c r="AD5" i="9" s="1"/>
  <c r="Y40" i="9" l="1"/>
  <c r="W40" i="9"/>
  <c r="AH40" i="9" s="1"/>
  <c r="AD40" i="9" l="1"/>
  <c r="AF40" i="9" s="1"/>
  <c r="AK51" i="9"/>
  <c r="AF51" i="9"/>
  <c r="AK50" i="9"/>
  <c r="AB50" i="9"/>
  <c r="Y50" i="9"/>
  <c r="AJ50" i="9" s="1"/>
  <c r="AK49" i="9"/>
  <c r="AK42" i="9"/>
  <c r="AF42" i="9"/>
  <c r="Y42" i="9"/>
  <c r="AJ42" i="9" s="1"/>
  <c r="W42" i="9"/>
  <c r="AH42" i="9" s="1"/>
  <c r="AK41" i="9"/>
  <c r="Y41" i="9"/>
  <c r="AD41" i="9" s="1"/>
  <c r="W41" i="9"/>
  <c r="AH41" i="9" s="1"/>
  <c r="AK32" i="9"/>
  <c r="Y32" i="9"/>
  <c r="AD32" i="9" s="1"/>
  <c r="S32" i="9"/>
  <c r="AK30" i="9"/>
  <c r="Y30" i="9"/>
  <c r="AD30" i="9" s="1"/>
  <c r="AF30" i="9" s="1"/>
  <c r="S30" i="9"/>
  <c r="AK29" i="9"/>
  <c r="Y29" i="9"/>
  <c r="AD29" i="9" s="1"/>
  <c r="S29" i="9"/>
  <c r="AK21" i="9"/>
  <c r="W21" i="9"/>
  <c r="AK18" i="9"/>
  <c r="AJ18" i="9"/>
  <c r="AI18" i="9"/>
  <c r="AH18" i="9"/>
  <c r="AF18" i="9"/>
  <c r="Z18" i="9"/>
  <c r="AK17" i="9"/>
  <c r="AK14" i="9"/>
  <c r="Y14" i="9"/>
  <c r="AD14" i="9" s="1"/>
  <c r="AF14" i="9" s="1"/>
  <c r="W14" i="9"/>
  <c r="AH14" i="9" s="1"/>
  <c r="AK12" i="9"/>
  <c r="Y12" i="9"/>
  <c r="AD12" i="9" s="1"/>
  <c r="W12" i="9"/>
  <c r="Y11" i="9"/>
  <c r="AD11" i="9" s="1"/>
  <c r="AK6" i="9"/>
  <c r="Y6" i="9"/>
  <c r="AD6" i="9" s="1"/>
  <c r="W6" i="9"/>
  <c r="AH6" i="9" s="1"/>
  <c r="S6" i="9"/>
  <c r="P8" i="9"/>
  <c r="AK5" i="9"/>
  <c r="AJ5" i="9"/>
  <c r="AF5" i="9"/>
  <c r="W5" i="9"/>
  <c r="X48" i="9"/>
  <c r="AJ40" i="9" l="1"/>
  <c r="AI48" i="9"/>
  <c r="Z48" i="9"/>
  <c r="AL48" i="9" s="1"/>
  <c r="X8" i="9"/>
  <c r="AE8" i="9" s="1"/>
  <c r="X41" i="9"/>
  <c r="Z41" i="9" s="1"/>
  <c r="X7" i="9"/>
  <c r="AL18" i="9"/>
  <c r="AJ41" i="9"/>
  <c r="AF49" i="9"/>
  <c r="X49" i="9"/>
  <c r="AI49" i="9" s="1"/>
  <c r="X21" i="9"/>
  <c r="AI21" i="9" s="1"/>
  <c r="AF41" i="9"/>
  <c r="Y21" i="9"/>
  <c r="AD21" i="9" s="1"/>
  <c r="AF21" i="9" s="1"/>
  <c r="X12" i="9"/>
  <c r="Z12" i="9" s="1"/>
  <c r="X15" i="9"/>
  <c r="Y15" i="9"/>
  <c r="AF50" i="9"/>
  <c r="W11" i="9"/>
  <c r="X14" i="9"/>
  <c r="AI14" i="9" s="1"/>
  <c r="AI32" i="9"/>
  <c r="AD8" i="9"/>
  <c r="Y49" i="9"/>
  <c r="AJ49" i="9" s="1"/>
  <c r="X40" i="9"/>
  <c r="X5" i="9"/>
  <c r="AI5" i="9" s="1"/>
  <c r="AJ14" i="9"/>
  <c r="AH21" i="9"/>
  <c r="AF6" i="9"/>
  <c r="AJ6" i="9"/>
  <c r="Y17" i="9"/>
  <c r="X17" i="9"/>
  <c r="AI17" i="9" s="1"/>
  <c r="AJ29" i="9"/>
  <c r="W51" i="9"/>
  <c r="Y51" i="9"/>
  <c r="AJ51" i="9" s="1"/>
  <c r="X51" i="9"/>
  <c r="AI51" i="9" s="1"/>
  <c r="AH17" i="9"/>
  <c r="AJ12" i="9"/>
  <c r="AJ32" i="9"/>
  <c r="W30" i="9"/>
  <c r="AJ30" i="9"/>
  <c r="X30" i="9"/>
  <c r="AI30" i="9" s="1"/>
  <c r="AH5" i="9"/>
  <c r="AJ11" i="9"/>
  <c r="X6" i="9"/>
  <c r="AI6" i="9" s="1"/>
  <c r="AB12" i="9"/>
  <c r="X29" i="9"/>
  <c r="AC29" i="9" s="1"/>
  <c r="W50" i="9"/>
  <c r="W29" i="9"/>
  <c r="AB29" i="9" s="1"/>
  <c r="X50" i="9"/>
  <c r="AI50" i="9" s="1"/>
  <c r="X11" i="9"/>
  <c r="W15" i="9"/>
  <c r="X42" i="9"/>
  <c r="W49" i="9"/>
  <c r="AE15" i="9" l="1"/>
  <c r="AK15" i="9" s="1"/>
  <c r="AC8" i="9"/>
  <c r="AK8" i="9"/>
  <c r="Z40" i="9"/>
  <c r="AL40" i="9" s="1"/>
  <c r="AI40" i="9"/>
  <c r="AD15" i="9"/>
  <c r="AJ15" i="9" s="1"/>
  <c r="AC15" i="9"/>
  <c r="AI15" i="9" s="1"/>
  <c r="AH11" i="9"/>
  <c r="AE11" i="9"/>
  <c r="AB15" i="9"/>
  <c r="AC12" i="9"/>
  <c r="AI12" i="9" s="1"/>
  <c r="AC7" i="9"/>
  <c r="Z7" i="9"/>
  <c r="AL41" i="9"/>
  <c r="AJ21" i="9"/>
  <c r="Z5" i="9"/>
  <c r="AL5" i="9" s="1"/>
  <c r="Z21" i="9"/>
  <c r="AL21" i="9" s="1"/>
  <c r="AI41" i="9"/>
  <c r="Z14" i="9"/>
  <c r="AL14" i="9" s="1"/>
  <c r="W55" i="9"/>
  <c r="Z17" i="9"/>
  <c r="Y55" i="9"/>
  <c r="X55" i="9"/>
  <c r="Z32" i="9"/>
  <c r="AF32" i="9"/>
  <c r="Z15" i="9"/>
  <c r="Z29" i="9"/>
  <c r="Z6" i="9"/>
  <c r="AL6" i="9" s="1"/>
  <c r="AI11" i="9"/>
  <c r="Z11" i="9"/>
  <c r="Z50" i="9"/>
  <c r="AL50" i="9" s="1"/>
  <c r="AH50" i="9"/>
  <c r="AJ8" i="9"/>
  <c r="AH49" i="9"/>
  <c r="Z49" i="9"/>
  <c r="AL49" i="9" s="1"/>
  <c r="AF17" i="9"/>
  <c r="AH12" i="9"/>
  <c r="AH8" i="9"/>
  <c r="Z8" i="9"/>
  <c r="AH30" i="9"/>
  <c r="Z30" i="9"/>
  <c r="AL30" i="9" s="1"/>
  <c r="AI42" i="9"/>
  <c r="Z42" i="9"/>
  <c r="AL42" i="9" s="1"/>
  <c r="AI29" i="9"/>
  <c r="AH51" i="9"/>
  <c r="Z51" i="9"/>
  <c r="AL51" i="9" s="1"/>
  <c r="AF8" i="9" l="1"/>
  <c r="AL8" i="9" s="1"/>
  <c r="AF11" i="9"/>
  <c r="AL11" i="9" s="1"/>
  <c r="AK11" i="9"/>
  <c r="AE55" i="9"/>
  <c r="AI8" i="9"/>
  <c r="AF12" i="9"/>
  <c r="AL12" i="9" s="1"/>
  <c r="AF15" i="9"/>
  <c r="AL15" i="9" s="1"/>
  <c r="AC55" i="9"/>
  <c r="AI7" i="9"/>
  <c r="AF7" i="9"/>
  <c r="AL7" i="9" s="1"/>
  <c r="AF29" i="9"/>
  <c r="AL29" i="9" s="1"/>
  <c r="AL17" i="9"/>
  <c r="Z55" i="9"/>
  <c r="AB55" i="9"/>
  <c r="AD55" i="9"/>
  <c r="AJ17" i="9"/>
  <c r="AJ55" i="9" s="1"/>
  <c r="AH15" i="9"/>
  <c r="AH29" i="9"/>
  <c r="AL32" i="9"/>
  <c r="AH32" i="9"/>
  <c r="AK55" i="9" l="1"/>
  <c r="AI55" i="9"/>
  <c r="AH55" i="9"/>
  <c r="AF55" i="9"/>
  <c r="AL55" i="9"/>
</calcChain>
</file>

<file path=xl/sharedStrings.xml><?xml version="1.0" encoding="utf-8"?>
<sst xmlns="http://schemas.openxmlformats.org/spreadsheetml/2006/main" count="360" uniqueCount="225">
  <si>
    <t>Company Name</t>
  </si>
  <si>
    <t>Jobs Commitment</t>
  </si>
  <si>
    <t xml:space="preserve">Average Wage </t>
  </si>
  <si>
    <t>All Tax Abated Properties Addresses</t>
  </si>
  <si>
    <t>Agreement Investment Notes</t>
  </si>
  <si>
    <t>Resolution Date</t>
  </si>
  <si>
    <t xml:space="preserve">Year Beginning </t>
  </si>
  <si>
    <t>Year Ending</t>
  </si>
  <si>
    <t>Primary Address Lat</t>
  </si>
  <si>
    <t>Primary Address Long</t>
  </si>
  <si>
    <t>N/A</t>
  </si>
  <si>
    <t>Olan Mills Drive</t>
  </si>
  <si>
    <t>3063 Hickory Valley Rd</t>
  </si>
  <si>
    <t>PLASTIC OMNIUM AUTO EXTERIORS, LLC</t>
  </si>
  <si>
    <t>3241 Hickory Valley Rd</t>
  </si>
  <si>
    <t>PROVIDENT/UNUM PROVIDENT CORP.</t>
  </si>
  <si>
    <t>473 Walnut St</t>
  </si>
  <si>
    <t>Compress St, 3480 Amnicola, 625 Hulsey</t>
  </si>
  <si>
    <t>WM WRIGLEY JR CO</t>
  </si>
  <si>
    <t>3002 Jersey Pike</t>
  </si>
  <si>
    <t>AMAZON.COM DEDC LLC PROJECT</t>
  </si>
  <si>
    <t>7200 Volkswagen Dr</t>
  </si>
  <si>
    <t>7380 Volkswagen Dr</t>
  </si>
  <si>
    <t>RIVERCITY CO - MAJESTIC 12 THEATER</t>
  </si>
  <si>
    <t>311 Broad St</t>
  </si>
  <si>
    <t>VOLKSWAGEN GROUP OF AMERICA INC</t>
  </si>
  <si>
    <t>8001 Volkswagen Dr &amp; Discovery Dr</t>
  </si>
  <si>
    <t>MK, LLC</t>
  </si>
  <si>
    <t>UTC TWO LLC</t>
  </si>
  <si>
    <t>Lindsay St &amp; 615 Lindsay St</t>
  </si>
  <si>
    <t>UTC THREE LLC</t>
  </si>
  <si>
    <t>863 McCallie Ave</t>
  </si>
  <si>
    <t>WALNUT COMMONS LLC</t>
  </si>
  <si>
    <t>212 Walnut St</t>
  </si>
  <si>
    <t>Assessment on PILOT Properties</t>
  </si>
  <si>
    <t>Property Tax without PILOT Agreement</t>
  </si>
  <si>
    <t>City Taxes</t>
  </si>
  <si>
    <t>County General Tax</t>
  </si>
  <si>
    <t>County School Tax</t>
  </si>
  <si>
    <t>VOLKSWAGEN GROUP OF AMERICA INC - 2014</t>
  </si>
  <si>
    <t>Total Tax - w/o PILOT</t>
  </si>
  <si>
    <t>Net Cost of PILOT</t>
  </si>
  <si>
    <t>City</t>
  </si>
  <si>
    <t>County General Government</t>
  </si>
  <si>
    <t>County Schools</t>
  </si>
  <si>
    <t>Total Cost of PILOT</t>
  </si>
  <si>
    <t>City Council Approval</t>
  </si>
  <si>
    <t>County Commission Approval</t>
  </si>
  <si>
    <t>INDUSTRIAL DEVELOPMENT BOARD OF CHATTANOOGA</t>
  </si>
  <si>
    <t>HEALTH, EDUCATION AND HOUSING FACILITIES BOARD</t>
  </si>
  <si>
    <t>INDUSTRIAL DEVELOPMENT BOARD OF HAMILTON COUNTY</t>
  </si>
  <si>
    <t>1210-12</t>
  </si>
  <si>
    <t>302-41A</t>
  </si>
  <si>
    <t>706-17</t>
  </si>
  <si>
    <t>614-19</t>
  </si>
  <si>
    <t>309-37</t>
  </si>
  <si>
    <t>1008-27</t>
  </si>
  <si>
    <t>1214-8</t>
  </si>
  <si>
    <t>SOUTHERN CHAMPION TRAY 2014</t>
  </si>
  <si>
    <t>Resolution</t>
  </si>
  <si>
    <t>1212-20</t>
  </si>
  <si>
    <t>1212-21</t>
  </si>
  <si>
    <t>1108-43</t>
  </si>
  <si>
    <t>1010-8</t>
  </si>
  <si>
    <t>1006-36</t>
  </si>
  <si>
    <t>714-31</t>
  </si>
  <si>
    <t>State Map No.</t>
  </si>
  <si>
    <t>Per 040158</t>
  </si>
  <si>
    <t>139-074</t>
  </si>
  <si>
    <t>135M-E-001</t>
  </si>
  <si>
    <t>135NB-A-003</t>
  </si>
  <si>
    <t>130-008.18, 24; Per 036767, Per 042026</t>
  </si>
  <si>
    <t>138I-A-002.01; Per 404153</t>
  </si>
  <si>
    <t>314-25</t>
  </si>
  <si>
    <t>Bill for Payments in Lieu of Taxes</t>
  </si>
  <si>
    <t>Total In Lieu of Taxes</t>
  </si>
  <si>
    <t>2006</t>
  </si>
  <si>
    <t>8002 Volkswagen Dr &amp; Discovery Dr</t>
  </si>
  <si>
    <t>Economic Dev. Fee</t>
  </si>
  <si>
    <t>Link to Resolution</t>
  </si>
  <si>
    <t>View</t>
  </si>
  <si>
    <t>10638 Apison Pike</t>
  </si>
  <si>
    <t>COCA-COLA BOTTLING COMPANY UNITED</t>
  </si>
  <si>
    <t>McKEE FOODS (City of Collegedale)</t>
  </si>
  <si>
    <t>215-37</t>
  </si>
  <si>
    <t>515-28</t>
  </si>
  <si>
    <t>GESTAMP NORTH AMERICA, INC</t>
  </si>
  <si>
    <t>715-15</t>
  </si>
  <si>
    <t>GESTAMP CHATTANOOGA LLC (07/2010)</t>
  </si>
  <si>
    <t>UTC FIVE, LLC</t>
  </si>
  <si>
    <t>500 Lindsay Street</t>
  </si>
  <si>
    <t>HERITAGE-MACLELLAN APARTMENTS, LLC</t>
  </si>
  <si>
    <t>Agreement Notes</t>
  </si>
  <si>
    <t>Must reserve at least 20% of available units for lower income persons</t>
  </si>
  <si>
    <t>90 apts contemplated plus retail space; must reserve at least 20% of available units for lower income persons</t>
  </si>
  <si>
    <t>64 units contemplated; must reserve at least 20% of available units for lower income persons</t>
  </si>
  <si>
    <t>715-16</t>
  </si>
  <si>
    <t>715-17</t>
  </si>
  <si>
    <t>710-4</t>
  </si>
  <si>
    <t>1109-52</t>
  </si>
  <si>
    <t>1015-20</t>
  </si>
  <si>
    <t>added 4120 Jersey Pike Property</t>
  </si>
  <si>
    <t>10260 McKee Drive and 10638 Apison Pike</t>
  </si>
  <si>
    <t>1015-54</t>
  </si>
  <si>
    <t>130-001-.33; Per 046992</t>
  </si>
  <si>
    <t>145D-B-008, 012; Per 045379</t>
  </si>
  <si>
    <t>146H-E-001; Per 045380</t>
  </si>
  <si>
    <t>127L-A-022.01; 023; 135F-A-005; 003; Per 046890</t>
  </si>
  <si>
    <t>YANFENG US AUTOMOTIVE INTERIOR SYSTEMS I LLC PROJECT</t>
  </si>
  <si>
    <t>116-27</t>
  </si>
  <si>
    <t>ECG CHESTNUT, LP</t>
  </si>
  <si>
    <t>2108 Chestnut Street</t>
  </si>
  <si>
    <t>1116-3</t>
  </si>
  <si>
    <t>174 one and two bedroom units for low income housing</t>
  </si>
  <si>
    <t>138O-B-001.03; Per 047001</t>
  </si>
  <si>
    <t>135M-G-008; Per 048858</t>
  </si>
  <si>
    <t>135M-B-008 L001; Per 043664</t>
  </si>
  <si>
    <t>721 Broad Street</t>
  </si>
  <si>
    <t>1216-31</t>
  </si>
  <si>
    <t>STANDARD COOSA LOFTS, LLC</t>
  </si>
  <si>
    <t>1216-8</t>
  </si>
  <si>
    <t>500 W. MLK Blvd</t>
  </si>
  <si>
    <t>100% of dwelling units will be for lower income households</t>
  </si>
  <si>
    <t>Investment Commitment</t>
  </si>
  <si>
    <t>CHATTANOOGA HOUSING AUTHORITY</t>
  </si>
  <si>
    <t>Renovation of Jaycee Towers for low to moderate income elderly tenants.</t>
  </si>
  <si>
    <t>AMAZON.COM - COLE ID CHATT US REAL ESTATE</t>
  </si>
  <si>
    <t>BLUE CROSS BLUE SHIELD OF TN INC</t>
  </si>
  <si>
    <t>1 &amp; 23 Cameron Hill Cir &amp; 505 E MLK Blvd</t>
  </si>
  <si>
    <t>135N-B-005, 005.01, 005.02; Per 031074</t>
  </si>
  <si>
    <t>305-34</t>
  </si>
  <si>
    <t>HOMESERVE USA CORP</t>
  </si>
  <si>
    <t>517-30</t>
  </si>
  <si>
    <t>TSO CHATTANOOGA DEVELOPMENT, LP</t>
  </si>
  <si>
    <t>700 Market Street</t>
  </si>
  <si>
    <t>815-19</t>
  </si>
  <si>
    <t>125 residental rental units plus retail and office space and parking structure, must reserve at least 20% of available units for lower income persons</t>
  </si>
  <si>
    <t>Combined commitments for this project and Map 139-074</t>
  </si>
  <si>
    <t>Combined commitments for this project and Per 040158</t>
  </si>
  <si>
    <t>145F-J-003; Per 048861</t>
  </si>
  <si>
    <t>145DA-D-010; Per 048428</t>
  </si>
  <si>
    <t>Per 050278</t>
  </si>
  <si>
    <t>7463 Bonnyshire Drive</t>
  </si>
  <si>
    <t>TAX INCREMENT FINANCING (TIF) AGREEMENTS</t>
  </si>
  <si>
    <t>Black Creek Mountain</t>
  </si>
  <si>
    <t>Martin Luther King Extension</t>
  </si>
  <si>
    <t>Development of associated Black Creek Mountain property</t>
  </si>
  <si>
    <t>Assessment on TIF Properties</t>
  </si>
  <si>
    <t>Property Tax without TIF Agreement</t>
  </si>
  <si>
    <t>Net Cost of TIF</t>
  </si>
  <si>
    <t xml:space="preserve">Total </t>
  </si>
  <si>
    <t>612-27</t>
  </si>
  <si>
    <t>318-14</t>
  </si>
  <si>
    <t>1217-30</t>
  </si>
  <si>
    <t>ALCO WOODLAWN PARTNERS, LP   (BAYBERRY APARTMENTS DEVELOPMENT)</t>
  </si>
  <si>
    <t>2300 Wilson Street; 1101 Arlington Avenue and 2300 Windsor Street</t>
  </si>
  <si>
    <t>RIDGEWAY HOUSING PARTNERS, L.P.</t>
  </si>
  <si>
    <t>1018-4</t>
  </si>
  <si>
    <t>1230 Poplar Street</t>
  </si>
  <si>
    <t>120 one, two and three bedroom units, multifamily, low income housing tax credit apartment project</t>
  </si>
  <si>
    <t xml:space="preserve">130-001.25; Per 038692;       </t>
  </si>
  <si>
    <t>145CB-A-005; Per 051475</t>
  </si>
  <si>
    <t>141-033 L000; Per 10052016</t>
  </si>
  <si>
    <t>M&amp;M INDUSTRIES, INC</t>
  </si>
  <si>
    <t>1435 East 14th Street and 316 Corporate Place</t>
  </si>
  <si>
    <t>1117-27</t>
  </si>
  <si>
    <t>RIVERVIEW HOUSING ASSOCIATES, L.P.  (JAYCEE TOWER)</t>
  </si>
  <si>
    <t>GESTAMP CHATTANOOGA LLC (II)</t>
  </si>
  <si>
    <t>145C-B-007; Per 10052783</t>
  </si>
  <si>
    <t>130-001.34; Per 048704</t>
  </si>
  <si>
    <t>130-001.26; 138I-A-003;        Per 049271; Per 048703</t>
  </si>
  <si>
    <t>PATTEN AFFORDABLE PARTNERS, LP</t>
  </si>
  <si>
    <t>119-16</t>
  </si>
  <si>
    <t>1 East 11th Street</t>
  </si>
  <si>
    <t>Market Street</t>
  </si>
  <si>
    <t>43 new and 270 retained jobs</t>
  </si>
  <si>
    <t>City will receive Stormwater Fee, and HCDE will receive 100% of School tax due less City Stormwater Fee.</t>
  </si>
  <si>
    <t xml:space="preserve"> Minimum jobs requirement - 260</t>
  </si>
  <si>
    <t>Admin. Fee</t>
  </si>
  <si>
    <t>1700 &amp; 1800 South Watkins Street</t>
  </si>
  <si>
    <t xml:space="preserve">Property Tax retained by City and County </t>
  </si>
  <si>
    <t>Total Tax - w/o TIF</t>
  </si>
  <si>
    <t>Total Cost of TIF</t>
  </si>
  <si>
    <t>319-14</t>
  </si>
  <si>
    <t>Amended and restated agreement 03/20/19 adds an additional 150 jobs by 2023 and and additional $48M in expansion of facility</t>
  </si>
  <si>
    <t>139P-C-007; Per 10054783</t>
  </si>
  <si>
    <t>145L-B-006.01; Per 10031291</t>
  </si>
  <si>
    <t xml:space="preserve">2019 City </t>
  </si>
  <si>
    <t>2019 County</t>
  </si>
  <si>
    <t>2019 School</t>
  </si>
  <si>
    <t>145F-A-005; Per 10054385</t>
  </si>
  <si>
    <t>138I-A-002.01</t>
  </si>
  <si>
    <t>MA 1400 CHESTNUT LLC</t>
  </si>
  <si>
    <t>East Chattanooga Rising (Tubman)</t>
  </si>
  <si>
    <t>1219-27</t>
  </si>
  <si>
    <t>Proceeds from TIF toward infrastructure and road impr. - approx. $4 million plus interest</t>
  </si>
  <si>
    <t>320-25</t>
  </si>
  <si>
    <t>10261 McKee Drive and 10638 Apison Pike</t>
  </si>
  <si>
    <t>Expansion of facilities</t>
  </si>
  <si>
    <t>151-036; Per 033050</t>
  </si>
  <si>
    <t>146O-C-001 L000;                154-009.09L000;                  Per 10053579; Per 10053580</t>
  </si>
  <si>
    <t>SOUTHERN CHAMPION TRAY 2020</t>
  </si>
  <si>
    <t>820-26</t>
  </si>
  <si>
    <t>CHATTANOOGA NEIGHBORHOOD ENTERPRISE, INC  MAI BELL 2 RESIDENTIAL PROJECT</t>
  </si>
  <si>
    <t>1715 Union Avenue</t>
  </si>
  <si>
    <t>321-14</t>
  </si>
  <si>
    <t>146D-A-001; 146D-A-009;  146D-D-003; Per 10051748</t>
  </si>
  <si>
    <t>2021 City taxes billed</t>
  </si>
  <si>
    <t>2021 County taxes billed</t>
  </si>
  <si>
    <t>2021 School taxes billed</t>
  </si>
  <si>
    <t>140-172 L000; Per 10058089</t>
  </si>
  <si>
    <t>1121-33</t>
  </si>
  <si>
    <t>STEAM LOGISTICS</t>
  </si>
  <si>
    <t>721-6</t>
  </si>
  <si>
    <t>PUREGRAPHITE LLC / NOVONIX LLC</t>
  </si>
  <si>
    <t>RESERVE AT MOUNTAIN PASS</t>
  </si>
  <si>
    <t>421-30</t>
  </si>
  <si>
    <t>4905 Central Avenue</t>
  </si>
  <si>
    <t>240 units</t>
  </si>
  <si>
    <t>47 units</t>
  </si>
  <si>
    <t>APP BATTERY PARTNERS, LLLP</t>
  </si>
  <si>
    <t>3401 Campbell Street</t>
  </si>
  <si>
    <t>1220-33</t>
  </si>
  <si>
    <t>142 one, two &amp; three bedroom units</t>
  </si>
  <si>
    <r>
      <rPr>
        <b/>
        <sz val="10"/>
        <rFont val="Arial"/>
        <family val="2"/>
      </rPr>
      <t>NOTE:</t>
    </r>
    <r>
      <rPr>
        <sz val="10"/>
        <rFont val="Arial"/>
        <family val="2"/>
      </rPr>
      <t xml:space="preserve"> PILOT agreements for companies shaded in BLUE have been approved by each of the County and City legislative bodies, but the agreements have not become effective as of Tax Year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</si>
</sst>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41" formatCode="_(* #,##0_);_(* \(#,##0\);_(* &quot;-&quot;_);_(@_)"/>
    <numFmt numFmtId="43" formatCode="_(* #,##0.00_);_(* \(#,##0.00\);_(* &quot;-&quot;??_);_(@_)"/>
    <numFmt numFmtId="164" formatCode="&quot;$&quot;#,##0.00"/>
    <numFmt numFmtId="165" formatCode="_(* #,##0.0000_);_(* \(#,##0.0000\);_(* &quot;-&quot;_);_(@_)"/>
    <numFmt numFmtId="166" formatCode="_(* #,##0.0000_);_(* \(#,##0.0000\);_(* &quot;-&quot;??_);_(@_)"/>
    <numFmt numFmtId="167" formatCode="_(* #,##0_);_(* \(#,##0\);_(* &quot;-&quot;??_);_(@_)"/>
    <numFmt numFmtId="168" formatCode="0.00000%"/>
  </numFmts>
  <fonts count="20" x14ac:knownFonts="1">
    <font>
      <sz val="10"/>
      <name val="Arial"/>
    </font>
    <font>
      <b/>
      <sz val="10"/>
      <name val="Arial"/>
      <family val="2"/>
    </font>
    <font>
      <b/>
      <u/>
      <sz val="10"/>
      <name val="Arial"/>
      <family val="2"/>
    </font>
    <font>
      <b/>
      <u/>
      <sz val="10"/>
      <name val="Arial"/>
      <family val="2"/>
    </font>
    <font>
      <sz val="10"/>
      <color rgb="FF000000"/>
      <name val="Arial"/>
      <family val="2"/>
    </font>
    <font>
      <sz val="10"/>
      <name val="Arial"/>
      <family val="2"/>
    </font>
    <font>
      <b/>
      <u/>
      <sz val="10"/>
      <name val="Arial"/>
      <family val="2"/>
    </font>
    <font>
      <b/>
      <sz val="10"/>
      <name val="Arial"/>
      <family val="2"/>
    </font>
    <font>
      <i/>
      <sz val="10"/>
      <name val="Arial"/>
      <family val="2"/>
    </font>
    <font>
      <b/>
      <u/>
      <sz val="14"/>
      <name val="Arial"/>
      <family val="2"/>
    </font>
    <font>
      <u/>
      <sz val="10"/>
      <color theme="10"/>
      <name val="Arial"/>
      <family val="2"/>
    </font>
    <font>
      <b/>
      <sz val="10"/>
      <color rgb="FF000000"/>
      <name val="Arial"/>
      <family val="2"/>
    </font>
    <font>
      <u/>
      <sz val="10"/>
      <color theme="10"/>
      <name val="Arial"/>
      <family val="2"/>
    </font>
    <font>
      <sz val="9"/>
      <name val="Arial"/>
      <family val="2"/>
    </font>
    <font>
      <b/>
      <sz val="10"/>
      <color rgb="FFFF0000"/>
      <name val="Arial"/>
      <family val="2"/>
    </font>
    <font>
      <sz val="10"/>
      <name val="Arial"/>
      <family val="2"/>
    </font>
    <font>
      <sz val="10"/>
      <name val="Arial"/>
      <family val="2"/>
    </font>
    <font>
      <u/>
      <sz val="10"/>
      <color rgb="FFFF0000"/>
      <name val="Arial"/>
      <family val="2"/>
    </font>
    <font>
      <u/>
      <sz val="10"/>
      <name val="Arial"/>
      <family val="2"/>
    </font>
    <font>
      <sz val="10"/>
      <name val="Arial"/>
    </font>
  </fonts>
  <fills count="13">
    <fill>
      <patternFill patternType="none"/>
    </fill>
    <fill>
      <patternFill patternType="gray125"/>
    </fill>
    <fill>
      <patternFill patternType="solid">
        <fgColor rgb="FFF9CB9C"/>
        <bgColor rgb="FFF9CB9C"/>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79998168889431442"/>
        <bgColor rgb="FFFFD966"/>
      </patternFill>
    </fill>
    <fill>
      <patternFill patternType="solid">
        <fgColor theme="5" tint="0.79998168889431442"/>
        <bgColor rgb="FFF9CB9C"/>
      </patternFill>
    </fill>
    <fill>
      <patternFill patternType="solid">
        <fgColor theme="3" tint="0.79998168889431442"/>
        <bgColor indexed="64"/>
      </patternFill>
    </fill>
    <fill>
      <patternFill patternType="solid">
        <fgColor theme="3" tint="0.79998168889431442"/>
        <bgColor rgb="FFFFD966"/>
      </patternFill>
    </fill>
    <fill>
      <patternFill patternType="solid">
        <fgColor theme="3" tint="0.79998168889431442"/>
        <bgColor rgb="FFF9CB9C"/>
      </patternFill>
    </fill>
    <fill>
      <patternFill patternType="solid">
        <fgColor rgb="FFFF0000"/>
        <bgColor indexed="64"/>
      </patternFill>
    </fill>
    <fill>
      <patternFill patternType="solid">
        <fgColor theme="8" tint="0.59999389629810485"/>
        <bgColor indexed="64"/>
      </patternFill>
    </fill>
    <fill>
      <patternFill patternType="solid">
        <fgColor rgb="FFFFFF00"/>
        <bgColor indexed="64"/>
      </patternFill>
    </fill>
  </fills>
  <borders count="8">
    <border>
      <left/>
      <right/>
      <top/>
      <bottom/>
      <diagonal/>
    </border>
    <border>
      <left/>
      <right/>
      <top/>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bottom style="dotted">
        <color auto="1"/>
      </bottom>
      <diagonal/>
    </border>
    <border>
      <left/>
      <right/>
      <top style="dotted">
        <color auto="1"/>
      </top>
      <bottom style="dotted">
        <color auto="1"/>
      </bottom>
      <diagonal/>
    </border>
    <border>
      <left/>
      <right/>
      <top style="dotted">
        <color auto="1"/>
      </top>
      <bottom/>
      <diagonal/>
    </border>
  </borders>
  <cellStyleXfs count="9">
    <xf numFmtId="0" fontId="0" fillId="0" borderId="0"/>
    <xf numFmtId="0" fontId="10" fillId="0" borderId="1" applyNumberFormat="0" applyFill="0" applyBorder="0" applyAlignment="0" applyProtection="0"/>
    <xf numFmtId="0" fontId="10" fillId="0" borderId="1" applyNumberFormat="0" applyFill="0" applyBorder="0" applyAlignment="0" applyProtection="0"/>
    <xf numFmtId="0" fontId="5" fillId="0" borderId="1"/>
    <xf numFmtId="0" fontId="12" fillId="0" borderId="0" applyNumberFormat="0" applyFill="0" applyBorder="0" applyAlignment="0" applyProtection="0"/>
    <xf numFmtId="43" fontId="15" fillId="0" borderId="0" applyFont="0" applyFill="0" applyBorder="0" applyAlignment="0" applyProtection="0"/>
    <xf numFmtId="0" fontId="16" fillId="0" borderId="1"/>
    <xf numFmtId="0" fontId="16" fillId="0" borderId="1"/>
    <xf numFmtId="9" fontId="19" fillId="0" borderId="0" applyFont="0" applyFill="0" applyBorder="0" applyAlignment="0" applyProtection="0"/>
  </cellStyleXfs>
  <cellXfs count="449">
    <xf numFmtId="0" fontId="0" fillId="0" borderId="0" xfId="0"/>
    <xf numFmtId="41" fontId="0" fillId="0" borderId="0" xfId="0" applyNumberFormat="1"/>
    <xf numFmtId="165" fontId="8" fillId="0" borderId="0" xfId="0" applyNumberFormat="1" applyFont="1" applyFill="1"/>
    <xf numFmtId="41" fontId="0" fillId="0" borderId="0" xfId="0" applyNumberFormat="1" applyFill="1"/>
    <xf numFmtId="165" fontId="8" fillId="0" borderId="1" xfId="0" applyNumberFormat="1" applyFont="1" applyFill="1" applyBorder="1"/>
    <xf numFmtId="41" fontId="7" fillId="0" borderId="1" xfId="0" applyNumberFormat="1" applyFont="1" applyFill="1" applyBorder="1" applyAlignment="1">
      <alignment horizontal="centerContinuous"/>
    </xf>
    <xf numFmtId="41" fontId="0" fillId="0" borderId="1" xfId="0" applyNumberFormat="1" applyFill="1" applyBorder="1"/>
    <xf numFmtId="41" fontId="7" fillId="3" borderId="2" xfId="0" applyNumberFormat="1" applyFont="1" applyFill="1" applyBorder="1" applyAlignment="1">
      <alignment horizontal="centerContinuous"/>
    </xf>
    <xf numFmtId="0" fontId="2" fillId="0" borderId="1" xfId="0" applyFont="1" applyBorder="1" applyAlignment="1">
      <alignment horizontal="center" wrapText="1"/>
    </xf>
    <xf numFmtId="41" fontId="2" fillId="0" borderId="1" xfId="0" applyNumberFormat="1" applyFont="1" applyBorder="1" applyAlignment="1">
      <alignment horizontal="center" wrapText="1"/>
    </xf>
    <xf numFmtId="41" fontId="2" fillId="3" borderId="1" xfId="0" applyNumberFormat="1" applyFont="1" applyFill="1" applyBorder="1" applyAlignment="1">
      <alignment horizontal="center" wrapText="1"/>
    </xf>
    <xf numFmtId="41" fontId="6" fillId="3" borderId="1" xfId="0" applyNumberFormat="1" applyFont="1" applyFill="1" applyBorder="1" applyAlignment="1">
      <alignment horizontal="center" wrapText="1"/>
    </xf>
    <xf numFmtId="41" fontId="2" fillId="0" borderId="1" xfId="0" applyNumberFormat="1" applyFont="1" applyFill="1" applyBorder="1" applyAlignment="1">
      <alignment horizontal="center" wrapText="1"/>
    </xf>
    <xf numFmtId="41" fontId="2" fillId="5" borderId="1" xfId="0" applyNumberFormat="1" applyFont="1" applyFill="1" applyBorder="1" applyAlignment="1">
      <alignment horizontal="center" wrapText="1"/>
    </xf>
    <xf numFmtId="14" fontId="2" fillId="0" borderId="1" xfId="0" applyNumberFormat="1" applyFont="1" applyBorder="1" applyAlignment="1">
      <alignment horizontal="center" wrapText="1"/>
    </xf>
    <xf numFmtId="0" fontId="0" fillId="0" borderId="0" xfId="0" applyAlignment="1">
      <alignment wrapText="1"/>
    </xf>
    <xf numFmtId="0" fontId="2" fillId="0" borderId="1" xfId="0" applyFont="1" applyFill="1" applyBorder="1" applyAlignment="1">
      <alignment horizontal="center" wrapText="1"/>
    </xf>
    <xf numFmtId="14" fontId="2" fillId="0" borderId="1" xfId="0" applyNumberFormat="1" applyFont="1" applyFill="1" applyBorder="1" applyAlignment="1">
      <alignment horizontal="center" wrapText="1"/>
    </xf>
    <xf numFmtId="41" fontId="6" fillId="0" borderId="1" xfId="0" applyNumberFormat="1" applyFont="1" applyFill="1" applyBorder="1" applyAlignment="1">
      <alignment horizontal="center" wrapText="1"/>
    </xf>
    <xf numFmtId="0" fontId="0" fillId="0" borderId="0" xfId="0" applyFill="1" applyAlignment="1">
      <alignment wrapText="1"/>
    </xf>
    <xf numFmtId="0" fontId="9" fillId="0" borderId="1" xfId="0" applyFont="1" applyFill="1" applyBorder="1" applyAlignment="1">
      <alignment horizontal="left"/>
    </xf>
    <xf numFmtId="41" fontId="2" fillId="8" borderId="1" xfId="0" applyNumberFormat="1" applyFont="1" applyFill="1" applyBorder="1" applyAlignment="1">
      <alignment horizontal="center" wrapText="1"/>
    </xf>
    <xf numFmtId="0" fontId="0" fillId="0" borderId="0" xfId="0" applyFill="1"/>
    <xf numFmtId="41" fontId="11" fillId="4" borderId="3" xfId="0" applyNumberFormat="1" applyFont="1" applyFill="1" applyBorder="1" applyAlignment="1">
      <alignment horizontal="center"/>
    </xf>
    <xf numFmtId="0" fontId="2" fillId="10" borderId="1" xfId="0" applyFont="1" applyFill="1" applyBorder="1" applyAlignment="1">
      <alignment horizontal="center" wrapText="1"/>
    </xf>
    <xf numFmtId="41" fontId="11" fillId="7" borderId="3" xfId="0" applyNumberFormat="1" applyFont="1" applyFill="1" applyBorder="1" applyAlignment="1">
      <alignment horizontal="center"/>
    </xf>
    <xf numFmtId="41" fontId="11" fillId="3" borderId="3" xfId="0" applyNumberFormat="1" applyFont="1" applyFill="1" applyBorder="1" applyAlignment="1">
      <alignment horizontal="center"/>
    </xf>
    <xf numFmtId="0" fontId="0" fillId="0" borderId="0" xfId="0" applyAlignment="1">
      <alignment horizontal="left"/>
    </xf>
    <xf numFmtId="0" fontId="2" fillId="0" borderId="1" xfId="0" applyFont="1" applyFill="1" applyBorder="1" applyAlignment="1">
      <alignment horizontal="left" wrapText="1"/>
    </xf>
    <xf numFmtId="0" fontId="0" fillId="0" borderId="0" xfId="0" applyFill="1" applyAlignment="1">
      <alignment horizontal="left"/>
    </xf>
    <xf numFmtId="5" fontId="2" fillId="0" borderId="1" xfId="0" applyNumberFormat="1" applyFont="1" applyFill="1" applyBorder="1" applyAlignment="1">
      <alignment horizontal="center" wrapText="1"/>
    </xf>
    <xf numFmtId="0" fontId="0" fillId="0" borderId="0" xfId="0" applyFill="1" applyAlignment="1">
      <alignment horizontal="left" wrapText="1"/>
    </xf>
    <xf numFmtId="5" fontId="0" fillId="0" borderId="0" xfId="0" applyNumberFormat="1" applyAlignment="1">
      <alignment horizontal="center"/>
    </xf>
    <xf numFmtId="5" fontId="0" fillId="0" borderId="0" xfId="0" applyNumberFormat="1" applyFill="1" applyAlignment="1">
      <alignment horizontal="center"/>
    </xf>
    <xf numFmtId="41" fontId="14" fillId="0" borderId="0" xfId="0" applyNumberFormat="1" applyFont="1" applyFill="1"/>
    <xf numFmtId="43" fontId="2" fillId="0" borderId="1" xfId="0" applyNumberFormat="1" applyFont="1" applyFill="1" applyBorder="1" applyAlignment="1">
      <alignment horizontal="center" wrapText="1"/>
    </xf>
    <xf numFmtId="41" fontId="1" fillId="0" borderId="1" xfId="0" applyNumberFormat="1" applyFont="1" applyFill="1" applyBorder="1" applyAlignment="1">
      <alignment horizontal="center"/>
    </xf>
    <xf numFmtId="0" fontId="0" fillId="0" borderId="0" xfId="0" applyFill="1" applyAlignment="1">
      <alignment horizontal="center"/>
    </xf>
    <xf numFmtId="41" fontId="0" fillId="0" borderId="1" xfId="0" applyNumberFormat="1" applyFill="1" applyBorder="1" applyAlignment="1">
      <alignment horizontal="center"/>
    </xf>
    <xf numFmtId="0" fontId="0" fillId="11" borderId="0" xfId="0" applyFill="1" applyAlignment="1"/>
    <xf numFmtId="0" fontId="5" fillId="0" borderId="5" xfId="0" applyFont="1" applyFill="1" applyBorder="1" applyAlignment="1">
      <alignment vertical="top" wrapText="1"/>
    </xf>
    <xf numFmtId="0" fontId="5" fillId="0" borderId="5" xfId="0" applyFont="1" applyBorder="1" applyAlignment="1">
      <alignment vertical="top"/>
    </xf>
    <xf numFmtId="0" fontId="5" fillId="0" borderId="5" xfId="0" applyFont="1" applyBorder="1" applyAlignment="1">
      <alignment horizontal="center" vertical="top"/>
    </xf>
    <xf numFmtId="0" fontId="5" fillId="0" borderId="5" xfId="0" applyFont="1" applyBorder="1" applyAlignment="1">
      <alignment horizontal="center" vertical="top" wrapText="1"/>
    </xf>
    <xf numFmtId="14" fontId="5" fillId="0" borderId="5" xfId="0" applyNumberFormat="1" applyFont="1" applyBorder="1" applyAlignment="1">
      <alignment horizontal="center" vertical="top"/>
    </xf>
    <xf numFmtId="14" fontId="10" fillId="0" borderId="5" xfId="2" applyNumberFormat="1" applyBorder="1" applyAlignment="1">
      <alignment horizontal="center" vertical="top"/>
    </xf>
    <xf numFmtId="41" fontId="5" fillId="0" borderId="5" xfId="0" applyNumberFormat="1" applyFont="1" applyFill="1" applyBorder="1" applyAlignment="1">
      <alignment horizontal="center" vertical="top"/>
    </xf>
    <xf numFmtId="0" fontId="5" fillId="0" borderId="5" xfId="0" applyFont="1" applyFill="1" applyBorder="1" applyAlignment="1">
      <alignment horizontal="center" vertical="top"/>
    </xf>
    <xf numFmtId="3" fontId="5" fillId="0" borderId="5" xfId="0" applyNumberFormat="1" applyFont="1" applyBorder="1" applyAlignment="1">
      <alignment horizontal="right" vertical="top"/>
    </xf>
    <xf numFmtId="5" fontId="5" fillId="0" borderId="5" xfId="0" applyNumberFormat="1" applyFont="1" applyFill="1" applyBorder="1" applyAlignment="1">
      <alignment horizontal="center" vertical="top" wrapText="1"/>
    </xf>
    <xf numFmtId="164" fontId="5" fillId="0" borderId="5" xfId="0" applyNumberFormat="1" applyFont="1" applyFill="1" applyBorder="1" applyAlignment="1">
      <alignment horizontal="left" vertical="top" wrapText="1"/>
    </xf>
    <xf numFmtId="41" fontId="5" fillId="0" borderId="5" xfId="0" applyNumberFormat="1" applyFont="1" applyBorder="1" applyAlignment="1">
      <alignment horizontal="center" vertical="top"/>
    </xf>
    <xf numFmtId="41" fontId="5" fillId="3" borderId="5" xfId="0" applyNumberFormat="1" applyFont="1" applyFill="1" applyBorder="1" applyAlignment="1">
      <alignment horizontal="center" vertical="top"/>
    </xf>
    <xf numFmtId="41" fontId="5" fillId="7" borderId="5" xfId="0" applyNumberFormat="1" applyFont="1" applyFill="1" applyBorder="1" applyAlignment="1">
      <alignment horizontal="center" vertical="top"/>
    </xf>
    <xf numFmtId="41" fontId="5" fillId="9" borderId="5" xfId="0" applyNumberFormat="1" applyFont="1" applyFill="1" applyBorder="1" applyAlignment="1">
      <alignment horizontal="center" vertical="top"/>
    </xf>
    <xf numFmtId="41" fontId="4" fillId="4" borderId="5" xfId="0" applyNumberFormat="1" applyFont="1" applyFill="1" applyBorder="1" applyAlignment="1">
      <alignment horizontal="center" vertical="top"/>
    </xf>
    <xf numFmtId="41" fontId="4" fillId="6" borderId="5" xfId="0" applyNumberFormat="1" applyFont="1" applyFill="1" applyBorder="1" applyAlignment="1">
      <alignment horizontal="center" vertical="top"/>
    </xf>
    <xf numFmtId="41" fontId="4" fillId="6" borderId="5" xfId="5" applyNumberFormat="1" applyFont="1" applyFill="1" applyBorder="1" applyAlignment="1">
      <alignment horizontal="center" vertical="top"/>
    </xf>
    <xf numFmtId="0" fontId="5" fillId="0" borderId="0" xfId="0" applyFont="1" applyAlignment="1">
      <alignment vertical="top"/>
    </xf>
    <xf numFmtId="0" fontId="5" fillId="0" borderId="6" xfId="0" applyFont="1" applyFill="1" applyBorder="1" applyAlignment="1">
      <alignment vertical="top" wrapText="1"/>
    </xf>
    <xf numFmtId="0" fontId="5" fillId="0" borderId="6" xfId="0" applyFont="1" applyBorder="1" applyAlignment="1">
      <alignment vertical="top"/>
    </xf>
    <xf numFmtId="0" fontId="5" fillId="0" borderId="6" xfId="0" applyFont="1" applyBorder="1" applyAlignment="1">
      <alignment horizontal="center" vertical="top"/>
    </xf>
    <xf numFmtId="0" fontId="5" fillId="0" borderId="6" xfId="0" applyFont="1" applyBorder="1" applyAlignment="1">
      <alignment horizontal="center" vertical="top" wrapText="1"/>
    </xf>
    <xf numFmtId="14" fontId="5" fillId="0" borderId="6" xfId="0" applyNumberFormat="1" applyFont="1" applyBorder="1" applyAlignment="1">
      <alignment horizontal="center" vertical="top"/>
    </xf>
    <xf numFmtId="14" fontId="10" fillId="0" borderId="6" xfId="2" applyNumberFormat="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Fill="1" applyBorder="1" applyAlignment="1">
      <alignment horizontal="center" vertical="top"/>
    </xf>
    <xf numFmtId="3" fontId="5" fillId="0" borderId="6" xfId="0" applyNumberFormat="1" applyFont="1" applyBorder="1" applyAlignment="1">
      <alignment horizontal="right" vertical="top" wrapText="1"/>
    </xf>
    <xf numFmtId="5" fontId="5" fillId="0" borderId="6" xfId="0" applyNumberFormat="1" applyFont="1" applyFill="1" applyBorder="1" applyAlignment="1">
      <alignment horizontal="center" vertical="top" wrapText="1"/>
    </xf>
    <xf numFmtId="164" fontId="5" fillId="0" borderId="6" xfId="0" applyNumberFormat="1" applyFont="1" applyFill="1" applyBorder="1" applyAlignment="1">
      <alignment horizontal="left" vertical="top" wrapText="1"/>
    </xf>
    <xf numFmtId="41" fontId="5" fillId="0" borderId="6" xfId="0" applyNumberFormat="1" applyFont="1" applyBorder="1" applyAlignment="1">
      <alignment horizontal="center" vertical="top"/>
    </xf>
    <xf numFmtId="41" fontId="5" fillId="3"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0" fontId="5" fillId="0" borderId="6" xfId="0" applyFont="1" applyBorder="1" applyAlignment="1">
      <alignment horizontal="right" vertical="top" wrapText="1"/>
    </xf>
    <xf numFmtId="167" fontId="5" fillId="9" borderId="6" xfId="0" applyNumberFormat="1" applyFont="1" applyFill="1" applyBorder="1" applyAlignment="1">
      <alignment horizontal="center" vertical="top"/>
    </xf>
    <xf numFmtId="167" fontId="5" fillId="7" borderId="6" xfId="0" applyNumberFormat="1" applyFont="1" applyFill="1" applyBorder="1" applyAlignment="1">
      <alignment horizontal="center" vertical="top"/>
    </xf>
    <xf numFmtId="0" fontId="5" fillId="0" borderId="1" xfId="0" applyFont="1" applyFill="1" applyBorder="1" applyAlignment="1">
      <alignment vertical="top" wrapText="1"/>
    </xf>
    <xf numFmtId="0" fontId="5" fillId="0" borderId="1" xfId="0" applyFont="1" applyBorder="1" applyAlignment="1">
      <alignment vertical="top"/>
    </xf>
    <xf numFmtId="0" fontId="5" fillId="0" borderId="1" xfId="0" applyFont="1" applyBorder="1" applyAlignment="1">
      <alignment horizontal="center" vertical="top"/>
    </xf>
    <xf numFmtId="0" fontId="5" fillId="0" borderId="1" xfId="0" applyFont="1" applyBorder="1" applyAlignment="1">
      <alignment horizontal="center" vertical="top" wrapText="1"/>
    </xf>
    <xf numFmtId="14" fontId="5" fillId="0" borderId="1" xfId="0" applyNumberFormat="1" applyFont="1" applyBorder="1" applyAlignment="1">
      <alignment horizontal="center" vertical="top"/>
    </xf>
    <xf numFmtId="14" fontId="10" fillId="0" borderId="1" xfId="2" applyNumberFormat="1" applyBorder="1" applyAlignment="1">
      <alignment horizontal="center" vertical="top"/>
    </xf>
    <xf numFmtId="41" fontId="5" fillId="0" borderId="1" xfId="0" applyNumberFormat="1" applyFont="1" applyFill="1" applyBorder="1" applyAlignment="1">
      <alignment horizontal="center" vertical="top"/>
    </xf>
    <xf numFmtId="0" fontId="4" fillId="0" borderId="1" xfId="0" applyFont="1" applyBorder="1" applyAlignment="1">
      <alignment horizontal="center" vertical="top"/>
    </xf>
    <xf numFmtId="14" fontId="4" fillId="0" borderId="1" xfId="0" applyNumberFormat="1" applyFont="1" applyBorder="1" applyAlignment="1">
      <alignment horizontal="center" vertical="top"/>
    </xf>
    <xf numFmtId="14" fontId="10" fillId="0" borderId="1" xfId="2" applyNumberFormat="1" applyFill="1" applyBorder="1" applyAlignment="1">
      <alignment horizontal="center" vertical="top"/>
    </xf>
    <xf numFmtId="0" fontId="4" fillId="0" borderId="1" xfId="0" applyFont="1" applyFill="1" applyBorder="1" applyAlignment="1">
      <alignment horizontal="center" vertical="top"/>
    </xf>
    <xf numFmtId="0" fontId="5" fillId="0" borderId="1" xfId="0" applyFont="1" applyBorder="1" applyAlignment="1">
      <alignment horizontal="right" vertical="top" wrapText="1"/>
    </xf>
    <xf numFmtId="5"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41" fontId="4" fillId="0" borderId="1" xfId="0" applyNumberFormat="1" applyFont="1" applyBorder="1" applyAlignment="1">
      <alignment horizontal="center" vertical="top" wrapText="1"/>
    </xf>
    <xf numFmtId="41" fontId="5" fillId="3" borderId="1" xfId="0" applyNumberFormat="1" applyFont="1" applyFill="1" applyBorder="1" applyAlignment="1">
      <alignment horizontal="center" vertical="top"/>
    </xf>
    <xf numFmtId="167" fontId="5" fillId="7" borderId="1" xfId="0" applyNumberFormat="1" applyFont="1" applyFill="1" applyBorder="1" applyAlignment="1">
      <alignment horizontal="center" vertical="top"/>
    </xf>
    <xf numFmtId="41" fontId="5" fillId="7" borderId="1" xfId="0" applyNumberFormat="1" applyFont="1" applyFill="1" applyBorder="1" applyAlignment="1">
      <alignment horizontal="center" vertical="top"/>
    </xf>
    <xf numFmtId="41" fontId="4" fillId="4" borderId="1" xfId="0" applyNumberFormat="1" applyFont="1" applyFill="1" applyBorder="1" applyAlignment="1">
      <alignment horizontal="center" vertical="top"/>
    </xf>
    <xf numFmtId="0" fontId="5" fillId="0" borderId="6" xfId="0" applyFont="1" applyBorder="1" applyAlignment="1">
      <alignment horizontal="right" vertical="top"/>
    </xf>
    <xf numFmtId="41" fontId="5" fillId="0" borderId="6" xfId="0" applyNumberFormat="1" applyFont="1" applyFill="1" applyBorder="1" applyAlignment="1">
      <alignment horizontal="center" vertical="top" wrapText="1"/>
    </xf>
    <xf numFmtId="41" fontId="4" fillId="9" borderId="6" xfId="0" applyNumberFormat="1" applyFont="1" applyFill="1" applyBorder="1" applyAlignment="1">
      <alignment horizontal="center" vertical="top"/>
    </xf>
    <xf numFmtId="14" fontId="5" fillId="0" borderId="6" xfId="0" applyNumberFormat="1" applyFont="1" applyFill="1" applyBorder="1" applyAlignment="1">
      <alignment horizontal="center" vertical="top"/>
    </xf>
    <xf numFmtId="0" fontId="5" fillId="2" borderId="6" xfId="0" applyFont="1" applyFill="1" applyBorder="1" applyAlignment="1">
      <alignment horizontal="center" vertical="top"/>
    </xf>
    <xf numFmtId="14" fontId="12" fillId="0" borderId="6" xfId="4" applyNumberFormat="1" applyBorder="1" applyAlignment="1">
      <alignment horizontal="center" vertical="top"/>
    </xf>
    <xf numFmtId="14" fontId="5" fillId="0" borderId="6" xfId="0" applyNumberFormat="1" applyFont="1" applyBorder="1" applyAlignment="1">
      <alignment horizontal="center" vertical="top" wrapText="1"/>
    </xf>
    <xf numFmtId="41" fontId="5" fillId="9" borderId="6" xfId="0" quotePrefix="1" applyNumberFormat="1" applyFont="1" applyFill="1" applyBorder="1" applyAlignment="1">
      <alignment horizontal="center" vertical="top"/>
    </xf>
    <xf numFmtId="166" fontId="5" fillId="0" borderId="0" xfId="0" applyNumberFormat="1" applyFont="1" applyAlignment="1">
      <alignment vertical="top"/>
    </xf>
    <xf numFmtId="0" fontId="4" fillId="0" borderId="6" xfId="0" applyFont="1" applyFill="1" applyBorder="1" applyAlignment="1">
      <alignment horizontal="left" vertical="top" wrapText="1"/>
    </xf>
    <xf numFmtId="3" fontId="5" fillId="0" borderId="6" xfId="0" applyNumberFormat="1" applyFont="1" applyBorder="1" applyAlignment="1">
      <alignment horizontal="right" vertical="top"/>
    </xf>
    <xf numFmtId="0" fontId="9" fillId="0" borderId="6" xfId="0" applyFont="1" applyFill="1" applyBorder="1" applyAlignment="1">
      <alignment horizontal="left" vertical="top"/>
    </xf>
    <xf numFmtId="0" fontId="2" fillId="0" borderId="6" xfId="0" applyFont="1" applyFill="1" applyBorder="1" applyAlignment="1">
      <alignment horizontal="center" vertical="top" wrapText="1"/>
    </xf>
    <xf numFmtId="14" fontId="2" fillId="0" borderId="6" xfId="0" applyNumberFormat="1" applyFont="1" applyFill="1" applyBorder="1" applyAlignment="1">
      <alignment horizontal="center" vertical="top" wrapText="1"/>
    </xf>
    <xf numFmtId="41" fontId="2" fillId="0" borderId="6" xfId="0" applyNumberFormat="1" applyFont="1" applyFill="1" applyBorder="1" applyAlignment="1">
      <alignment horizontal="center" vertical="top" wrapText="1"/>
    </xf>
    <xf numFmtId="5" fontId="2" fillId="0" borderId="6" xfId="0" applyNumberFormat="1" applyFont="1" applyFill="1" applyBorder="1" applyAlignment="1">
      <alignment horizontal="center" vertical="top" wrapText="1"/>
    </xf>
    <xf numFmtId="0" fontId="2" fillId="0" borderId="6" xfId="0" applyFont="1" applyFill="1" applyBorder="1" applyAlignment="1">
      <alignment horizontal="left" vertical="top" wrapText="1"/>
    </xf>
    <xf numFmtId="41" fontId="6" fillId="0" borderId="6" xfId="0" applyNumberFormat="1" applyFont="1" applyFill="1" applyBorder="1" applyAlignment="1">
      <alignment horizontal="center" vertical="top" wrapText="1"/>
    </xf>
    <xf numFmtId="41" fontId="3" fillId="0" borderId="6" xfId="0" applyNumberFormat="1" applyFont="1" applyFill="1" applyBorder="1" applyAlignment="1">
      <alignment horizontal="center" vertical="top" wrapText="1"/>
    </xf>
    <xf numFmtId="0" fontId="0" fillId="0" borderId="1" xfId="0" applyFill="1" applyBorder="1" applyAlignment="1">
      <alignment vertical="top" wrapText="1"/>
    </xf>
    <xf numFmtId="0" fontId="0" fillId="0" borderId="0" xfId="0" applyFill="1" applyAlignment="1">
      <alignment vertical="top" wrapText="1"/>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0" borderId="7" xfId="0" applyNumberFormat="1" applyFont="1" applyFill="1" applyBorder="1" applyAlignment="1">
      <alignment horizontal="center" vertical="top"/>
    </xf>
    <xf numFmtId="0" fontId="5" fillId="0" borderId="7" xfId="0" applyFont="1" applyBorder="1" applyAlignment="1">
      <alignment horizontal="center" vertical="top" wrapText="1"/>
    </xf>
    <xf numFmtId="14" fontId="5" fillId="0" borderId="7" xfId="0" applyNumberFormat="1" applyFont="1" applyBorder="1" applyAlignment="1">
      <alignment horizontal="center" vertical="top" wrapText="1"/>
    </xf>
    <xf numFmtId="0" fontId="5" fillId="0" borderId="6" xfId="0" applyFont="1" applyFill="1" applyBorder="1" applyAlignment="1">
      <alignment horizontal="center" vertical="top"/>
    </xf>
    <xf numFmtId="164" fontId="5" fillId="0" borderId="7" xfId="0" applyNumberFormat="1" applyFont="1" applyFill="1" applyBorder="1" applyAlignment="1">
      <alignment horizontal="left" vertical="top" wrapText="1"/>
    </xf>
    <xf numFmtId="41" fontId="5" fillId="0"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14" fontId="5" fillId="0" borderId="5" xfId="0" applyNumberFormat="1" applyFont="1" applyBorder="1" applyAlignment="1">
      <alignment horizontal="center" vertical="top" wrapText="1"/>
    </xf>
    <xf numFmtId="14" fontId="12" fillId="0" borderId="5" xfId="4" applyNumberFormat="1" applyBorder="1" applyAlignment="1">
      <alignment horizontal="center" vertical="top"/>
    </xf>
    <xf numFmtId="41" fontId="5" fillId="0" borderId="5" xfId="0" applyNumberFormat="1" applyFont="1" applyFill="1" applyBorder="1" applyAlignment="1">
      <alignment vertical="top"/>
    </xf>
    <xf numFmtId="0" fontId="5" fillId="0" borderId="6" xfId="0" applyFont="1" applyFill="1" applyBorder="1" applyAlignment="1">
      <alignment horizontal="right" vertical="top"/>
    </xf>
    <xf numFmtId="0" fontId="5" fillId="0" borderId="6" xfId="0" applyFont="1" applyFill="1" applyBorder="1" applyAlignment="1">
      <alignment vertical="top" wrapText="1"/>
    </xf>
    <xf numFmtId="14" fontId="12" fillId="0" borderId="6" xfId="4" applyNumberFormat="1" applyBorder="1" applyAlignment="1">
      <alignment horizontal="center" vertical="top"/>
    </xf>
    <xf numFmtId="43" fontId="5" fillId="0" borderId="0" xfId="0" applyNumberFormat="1" applyFont="1" applyAlignment="1">
      <alignment vertical="top"/>
    </xf>
    <xf numFmtId="0" fontId="5" fillId="0" borderId="6" xfId="0" applyFont="1" applyFill="1" applyBorder="1" applyAlignment="1">
      <alignment vertical="top"/>
    </xf>
    <xf numFmtId="5" fontId="5" fillId="0" borderId="6" xfId="0" applyNumberFormat="1" applyFont="1" applyBorder="1" applyAlignment="1">
      <alignment horizontal="center" vertical="top"/>
    </xf>
    <xf numFmtId="0" fontId="5" fillId="0" borderId="6" xfId="0" applyFont="1" applyBorder="1" applyAlignment="1">
      <alignment horizontal="left" vertical="top" wrapText="1"/>
    </xf>
    <xf numFmtId="41" fontId="5" fillId="0" borderId="6" xfId="0" applyNumberFormat="1" applyFont="1" applyBorder="1" applyAlignment="1">
      <alignment vertical="top"/>
    </xf>
    <xf numFmtId="167" fontId="4" fillId="9" borderId="6" xfId="0" applyNumberFormat="1" applyFont="1" applyFill="1" applyBorder="1" applyAlignment="1">
      <alignment horizontal="center" vertical="top"/>
    </xf>
    <xf numFmtId="0" fontId="5" fillId="0" borderId="6" xfId="0" applyFont="1" applyFill="1" applyBorder="1" applyAlignment="1">
      <alignment horizontal="center" vertical="top" wrapText="1"/>
    </xf>
    <xf numFmtId="14" fontId="5" fillId="0" borderId="6" xfId="0" applyNumberFormat="1" applyFont="1" applyFill="1" applyBorder="1" applyAlignment="1">
      <alignment horizontal="center" vertical="top" wrapText="1"/>
    </xf>
    <xf numFmtId="41" fontId="13" fillId="0" borderId="6" xfId="0" applyNumberFormat="1" applyFont="1" applyBorder="1" applyAlignment="1">
      <alignment horizontal="left" vertical="top" wrapText="1"/>
    </xf>
    <xf numFmtId="41" fontId="5" fillId="7" borderId="6" xfId="0" applyNumberFormat="1" applyFont="1" applyFill="1" applyBorder="1" applyAlignment="1">
      <alignment horizontal="center" vertical="top" wrapText="1"/>
    </xf>
    <xf numFmtId="0" fontId="5" fillId="0" borderId="0" xfId="0" applyFont="1" applyFill="1" applyAlignment="1">
      <alignment vertical="top" wrapText="1"/>
    </xf>
    <xf numFmtId="0" fontId="5" fillId="0" borderId="6" xfId="0" applyFont="1" applyFill="1" applyBorder="1" applyAlignment="1">
      <alignment horizontal="right" vertical="top" wrapText="1"/>
    </xf>
    <xf numFmtId="14" fontId="12" fillId="0" borderId="6" xfId="4" applyNumberFormat="1" applyFill="1" applyBorder="1" applyAlignment="1">
      <alignment horizontal="center" vertical="top"/>
    </xf>
    <xf numFmtId="164" fontId="13" fillId="0" borderId="6" xfId="0" applyNumberFormat="1" applyFont="1" applyFill="1" applyBorder="1" applyAlignment="1">
      <alignment horizontal="left" vertical="top" wrapText="1"/>
    </xf>
    <xf numFmtId="14" fontId="10" fillId="0" borderId="6" xfId="2" applyNumberFormat="1" applyFill="1" applyBorder="1" applyAlignment="1">
      <alignment horizontal="center" vertical="top"/>
    </xf>
    <xf numFmtId="14" fontId="0" fillId="0" borderId="6" xfId="0" applyNumberFormat="1" applyFill="1" applyBorder="1" applyAlignment="1">
      <alignment horizontal="center" vertical="top"/>
    </xf>
    <xf numFmtId="0" fontId="12" fillId="0" borderId="6" xfId="4" applyFill="1" applyBorder="1" applyAlignment="1">
      <alignment horizontal="center" vertical="top"/>
    </xf>
    <xf numFmtId="0" fontId="5" fillId="0" borderId="1" xfId="0" applyFont="1" applyFill="1" applyBorder="1" applyAlignment="1">
      <alignment horizontal="center" vertical="top"/>
    </xf>
    <xf numFmtId="0" fontId="5" fillId="0" borderId="1" xfId="0" applyFont="1" applyFill="1" applyBorder="1" applyAlignment="1">
      <alignment horizontal="right" vertical="top" wrapText="1"/>
    </xf>
    <xf numFmtId="164" fontId="5" fillId="0" borderId="1" xfId="0" applyNumberFormat="1" applyFont="1" applyFill="1" applyBorder="1" applyAlignment="1">
      <alignment horizontal="left" vertical="top" wrapText="1"/>
    </xf>
    <xf numFmtId="41" fontId="5" fillId="0" borderId="1" xfId="0" applyNumberFormat="1" applyFont="1" applyBorder="1" applyAlignment="1">
      <alignment horizontal="center" vertical="top"/>
    </xf>
    <xf numFmtId="41" fontId="5" fillId="9" borderId="1" xfId="0" applyNumberFormat="1" applyFont="1" applyFill="1" applyBorder="1" applyAlignment="1">
      <alignment horizontal="center" vertical="top"/>
    </xf>
    <xf numFmtId="41" fontId="4" fillId="6" borderId="1" xfId="0" applyNumberFormat="1" applyFont="1" applyFill="1" applyBorder="1" applyAlignment="1">
      <alignment horizontal="center" vertical="top"/>
    </xf>
    <xf numFmtId="0" fontId="5" fillId="0" borderId="1" xfId="7" applyFont="1" applyBorder="1" applyAlignment="1">
      <alignment horizontal="center" vertical="top"/>
    </xf>
    <xf numFmtId="0" fontId="5" fillId="0" borderId="1" xfId="7" applyFont="1" applyAlignment="1"/>
    <xf numFmtId="14" fontId="5" fillId="0" borderId="1" xfId="7" applyNumberFormat="1" applyFont="1" applyBorder="1" applyAlignment="1">
      <alignment horizontal="center" vertical="top"/>
    </xf>
    <xf numFmtId="41" fontId="5" fillId="0" borderId="1" xfId="7" applyNumberFormat="1" applyFont="1" applyFill="1" applyBorder="1" applyAlignment="1">
      <alignment horizontal="center" vertical="top"/>
    </xf>
    <xf numFmtId="0" fontId="5" fillId="0" borderId="1" xfId="7" applyFont="1" applyFill="1" applyBorder="1" applyAlignment="1">
      <alignment horizontal="center" vertical="top"/>
    </xf>
    <xf numFmtId="0" fontId="5" fillId="0" borderId="1" xfId="7" applyFont="1" applyFill="1" applyBorder="1" applyAlignment="1">
      <alignment horizontal="right" vertical="top" wrapText="1"/>
    </xf>
    <xf numFmtId="5" fontId="5" fillId="0" borderId="1" xfId="7" applyNumberFormat="1" applyFont="1" applyFill="1" applyBorder="1" applyAlignment="1">
      <alignment horizontal="center" vertical="top" wrapText="1"/>
    </xf>
    <xf numFmtId="164" fontId="13" fillId="0" borderId="1" xfId="7" applyNumberFormat="1" applyFont="1" applyFill="1" applyBorder="1" applyAlignment="1">
      <alignment horizontal="left" vertical="top" wrapText="1"/>
    </xf>
    <xf numFmtId="41" fontId="5" fillId="0" borderId="1" xfId="7" applyNumberFormat="1" applyFont="1" applyBorder="1" applyAlignment="1">
      <alignment horizontal="center" vertical="top"/>
    </xf>
    <xf numFmtId="41" fontId="5" fillId="7" borderId="1" xfId="7" applyNumberFormat="1" applyFont="1" applyFill="1" applyBorder="1" applyAlignment="1">
      <alignment horizontal="center" vertical="top"/>
    </xf>
    <xf numFmtId="41" fontId="4" fillId="9" borderId="1" xfId="7" applyNumberFormat="1" applyFont="1" applyFill="1" applyBorder="1" applyAlignment="1">
      <alignment horizontal="center" vertical="top"/>
    </xf>
    <xf numFmtId="41" fontId="5" fillId="9" borderId="1" xfId="7"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left" vertical="top"/>
    </xf>
    <xf numFmtId="0" fontId="5" fillId="0" borderId="1" xfId="7" applyFont="1" applyFill="1" applyBorder="1" applyAlignment="1">
      <alignment vertical="top" wrapText="1"/>
    </xf>
    <xf numFmtId="0" fontId="5" fillId="0" borderId="1" xfId="7" applyFont="1" applyFill="1" applyBorder="1" applyAlignment="1">
      <alignment vertical="top"/>
    </xf>
    <xf numFmtId="0" fontId="5" fillId="0" borderId="1" xfId="7" applyFont="1" applyFill="1" applyBorder="1" applyAlignment="1">
      <alignment horizontal="center" vertical="top" wrapText="1"/>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0" fontId="5" fillId="0" borderId="6" xfId="0" applyFont="1" applyFill="1" applyBorder="1" applyAlignment="1">
      <alignment vertical="top" wrapText="1"/>
    </xf>
    <xf numFmtId="14" fontId="12" fillId="0" borderId="6" xfId="4" applyNumberFormat="1" applyBorder="1" applyAlignment="1">
      <alignment horizontal="center" vertical="top"/>
    </xf>
    <xf numFmtId="41" fontId="1" fillId="3" borderId="2" xfId="0" applyNumberFormat="1" applyFont="1" applyFill="1" applyBorder="1" applyAlignment="1">
      <alignment horizontal="centerContinuous"/>
    </xf>
    <xf numFmtId="14" fontId="12" fillId="0" borderId="6" xfId="4" applyNumberFormat="1" applyBorder="1" applyAlignment="1">
      <alignment horizontal="center" vertical="top"/>
    </xf>
    <xf numFmtId="5" fontId="5" fillId="0" borderId="6" xfId="0" applyNumberFormat="1" applyFont="1" applyFill="1" applyBorder="1" applyAlignment="1">
      <alignment horizontal="center" vertical="top" wrapText="1"/>
    </xf>
    <xf numFmtId="0" fontId="5" fillId="0" borderId="6" xfId="0" applyFont="1" applyFill="1" applyBorder="1" applyAlignment="1">
      <alignment horizontal="left" vertical="top" wrapText="1"/>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9" borderId="6" xfId="0" applyNumberFormat="1" applyFont="1" applyFill="1" applyBorder="1" applyAlignment="1">
      <alignment horizontal="center" vertical="top"/>
    </xf>
    <xf numFmtId="14" fontId="12" fillId="0" borderId="6" xfId="4" applyNumberFormat="1" applyBorder="1" applyAlignment="1">
      <alignment horizontal="center" vertical="top"/>
    </xf>
    <xf numFmtId="37" fontId="5" fillId="0" borderId="6" xfId="0" applyNumberFormat="1" applyFont="1" applyFill="1" applyBorder="1" applyAlignment="1">
      <alignment horizontal="center" vertical="top" wrapText="1"/>
    </xf>
    <xf numFmtId="0" fontId="5" fillId="0" borderId="6" xfId="0" applyFont="1" applyFill="1" applyBorder="1" applyAlignment="1">
      <alignment horizontal="left" vertical="center" wrapText="1"/>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0" fontId="5" fillId="0" borderId="6" xfId="0" applyFont="1" applyFill="1" applyBorder="1" applyAlignment="1">
      <alignment horizontal="center" vertical="top"/>
    </xf>
    <xf numFmtId="0" fontId="5" fillId="0" borderId="6" xfId="0" applyFont="1" applyFill="1" applyBorder="1" applyAlignment="1">
      <alignment vertical="top" wrapText="1"/>
    </xf>
    <xf numFmtId="0" fontId="5" fillId="11" borderId="0" xfId="0" applyFont="1" applyFill="1" applyAlignment="1"/>
    <xf numFmtId="41" fontId="5" fillId="0" borderId="6" xfId="0" applyNumberFormat="1" applyFont="1" applyBorder="1" applyAlignment="1">
      <alignment horizontal="center" vertical="top"/>
    </xf>
    <xf numFmtId="14" fontId="5" fillId="0" borderId="1" xfId="0" applyNumberFormat="1" applyFont="1" applyBorder="1" applyAlignment="1">
      <alignment horizontal="center" vertical="top" wrapText="1"/>
    </xf>
    <xf numFmtId="41" fontId="5" fillId="0" borderId="1" xfId="0" applyNumberFormat="1" applyFont="1" applyFill="1" applyBorder="1" applyAlignment="1">
      <alignment vertical="top"/>
    </xf>
    <xf numFmtId="0" fontId="5" fillId="0" borderId="6" xfId="0" applyFont="1" applyFill="1" applyBorder="1" applyAlignment="1">
      <alignment vertical="top" wrapText="1"/>
    </xf>
    <xf numFmtId="0" fontId="5" fillId="0" borderId="6" xfId="0"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3" fillId="0" borderId="1" xfId="0" applyNumberFormat="1" applyFont="1" applyFill="1" applyBorder="1" applyAlignment="1">
      <alignment horizontal="center" wrapText="1"/>
    </xf>
    <xf numFmtId="14" fontId="10" fillId="0" borderId="5" xfId="2" applyNumberFormat="1" applyFill="1" applyBorder="1" applyAlignment="1">
      <alignment horizontal="center" vertical="top"/>
    </xf>
    <xf numFmtId="14" fontId="12" fillId="0" borderId="7" xfId="4" applyNumberFormat="1" applyFill="1" applyBorder="1" applyAlignment="1">
      <alignment horizontal="center" vertical="top"/>
    </xf>
    <xf numFmtId="14" fontId="12" fillId="0" borderId="5" xfId="4" applyNumberFormat="1" applyFill="1" applyBorder="1" applyAlignment="1">
      <alignment horizontal="center" vertical="top"/>
    </xf>
    <xf numFmtId="14" fontId="12" fillId="0" borderId="1" xfId="4" applyNumberFormat="1" applyFill="1" applyBorder="1" applyAlignment="1">
      <alignment horizontal="center" vertical="top"/>
    </xf>
    <xf numFmtId="41" fontId="5" fillId="3" borderId="6" xfId="0" applyNumberFormat="1" applyFont="1" applyFill="1" applyBorder="1" applyAlignment="1">
      <alignment horizontal="center" vertical="top"/>
    </xf>
    <xf numFmtId="41" fontId="17" fillId="0" borderId="1" xfId="0" applyNumberFormat="1" applyFont="1" applyFill="1" applyBorder="1" applyAlignment="1">
      <alignment horizontal="center" wrapText="1"/>
    </xf>
    <xf numFmtId="41" fontId="18" fillId="0" borderId="6" xfId="0" applyNumberFormat="1" applyFont="1" applyFill="1" applyBorder="1" applyAlignment="1">
      <alignment horizontal="center" vertical="top" wrapText="1"/>
    </xf>
    <xf numFmtId="0" fontId="5" fillId="0" borderId="6" xfId="0" applyFont="1" applyFill="1" applyBorder="1" applyAlignment="1">
      <alignment vertical="top" wrapText="1"/>
    </xf>
    <xf numFmtId="0" fontId="5" fillId="0" borderId="6" xfId="0"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0" fillId="0" borderId="6" xfId="0" applyFill="1" applyBorder="1" applyAlignment="1">
      <alignment vertical="top" wrapText="1"/>
    </xf>
    <xf numFmtId="14" fontId="12" fillId="0" borderId="6" xfId="4" applyNumberFormat="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0" borderId="7" xfId="0" applyNumberFormat="1" applyFont="1" applyFill="1" applyBorder="1" applyAlignment="1">
      <alignment horizontal="center" vertical="top"/>
    </xf>
    <xf numFmtId="41" fontId="5" fillId="0" borderId="5" xfId="0" applyNumberFormat="1" applyFont="1" applyFill="1" applyBorder="1" applyAlignment="1">
      <alignment horizontal="center" vertical="top"/>
    </xf>
    <xf numFmtId="0" fontId="9" fillId="0" borderId="6" xfId="0" applyFont="1" applyFill="1" applyBorder="1" applyAlignment="1">
      <alignment horizontal="left"/>
    </xf>
    <xf numFmtId="0" fontId="2" fillId="0" borderId="6" xfId="0" applyFont="1" applyFill="1" applyBorder="1" applyAlignment="1">
      <alignment horizontal="center" wrapText="1"/>
    </xf>
    <xf numFmtId="0" fontId="5" fillId="0" borderId="6" xfId="0" applyFont="1" applyBorder="1" applyAlignment="1">
      <alignment horizontal="center"/>
    </xf>
    <xf numFmtId="14" fontId="5" fillId="0" borderId="6" xfId="0" applyNumberFormat="1" applyFont="1" applyBorder="1" applyAlignment="1">
      <alignment horizontal="center"/>
    </xf>
    <xf numFmtId="41" fontId="2" fillId="0" borderId="6" xfId="0" applyNumberFormat="1" applyFont="1" applyFill="1" applyBorder="1" applyAlignment="1">
      <alignment horizontal="center" wrapText="1"/>
    </xf>
    <xf numFmtId="14" fontId="2" fillId="0" borderId="6" xfId="0" applyNumberFormat="1" applyFont="1" applyFill="1" applyBorder="1" applyAlignment="1">
      <alignment horizontal="center" wrapText="1"/>
    </xf>
    <xf numFmtId="14" fontId="5" fillId="0" borderId="6" xfId="0" applyNumberFormat="1" applyFont="1" applyFill="1" applyBorder="1" applyAlignment="1">
      <alignment horizontal="center"/>
    </xf>
    <xf numFmtId="5" fontId="2" fillId="0" borderId="6" xfId="0" applyNumberFormat="1" applyFont="1" applyFill="1" applyBorder="1" applyAlignment="1">
      <alignment horizontal="center" wrapText="1"/>
    </xf>
    <xf numFmtId="0" fontId="2" fillId="0" borderId="6" xfId="0" applyFont="1" applyFill="1" applyBorder="1" applyAlignment="1">
      <alignment horizontal="left" wrapText="1"/>
    </xf>
    <xf numFmtId="41" fontId="18" fillId="0" borderId="6" xfId="0" applyNumberFormat="1" applyFont="1" applyFill="1" applyBorder="1" applyAlignment="1">
      <alignment horizontal="center" wrapText="1"/>
    </xf>
    <xf numFmtId="41" fontId="6" fillId="0" borderId="6" xfId="0" applyNumberFormat="1" applyFont="1" applyFill="1" applyBorder="1" applyAlignment="1">
      <alignment horizontal="center" wrapText="1"/>
    </xf>
    <xf numFmtId="41" fontId="3" fillId="0" borderId="6" xfId="0" applyNumberFormat="1" applyFont="1" applyFill="1" applyBorder="1" applyAlignment="1">
      <alignment horizontal="center" wrapText="1"/>
    </xf>
    <xf numFmtId="0" fontId="5" fillId="0" borderId="0" xfId="0" applyFont="1" applyFill="1" applyAlignment="1"/>
    <xf numFmtId="0" fontId="0" fillId="0" borderId="0" xfId="0" applyFill="1" applyAlignment="1"/>
    <xf numFmtId="41" fontId="5" fillId="9" borderId="6" xfId="0" applyNumberFormat="1" applyFont="1" applyFill="1" applyBorder="1" applyAlignment="1">
      <alignment horizontal="center" vertical="top"/>
    </xf>
    <xf numFmtId="14" fontId="10" fillId="0" borderId="1" xfId="4"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0" fontId="5" fillId="0" borderId="6" xfId="0" applyFont="1" applyFill="1" applyBorder="1" applyAlignment="1">
      <alignment horizontal="center" vertical="top"/>
    </xf>
    <xf numFmtId="41" fontId="5" fillId="0" borderId="7" xfId="0" applyNumberFormat="1" applyFont="1" applyBorder="1" applyAlignment="1">
      <alignment horizontal="center" vertical="top"/>
    </xf>
    <xf numFmtId="41" fontId="5" fillId="0" borderId="5" xfId="0" applyNumberFormat="1" applyFont="1" applyBorder="1" applyAlignment="1">
      <alignment horizontal="center" vertical="top"/>
    </xf>
    <xf numFmtId="41" fontId="5" fillId="0" borderId="5" xfId="0" applyNumberFormat="1" applyFont="1" applyFill="1" applyBorder="1" applyAlignment="1">
      <alignment horizontal="center" vertical="top"/>
    </xf>
    <xf numFmtId="14" fontId="12" fillId="0" borderId="1" xfId="4" applyNumberFormat="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center" vertical="top"/>
    </xf>
    <xf numFmtId="0" fontId="5" fillId="0" borderId="5" xfId="0" applyFont="1" applyFill="1" applyBorder="1" applyAlignment="1">
      <alignment horizontal="center" vertical="top"/>
    </xf>
    <xf numFmtId="0" fontId="5" fillId="0" borderId="6" xfId="0" applyFont="1" applyFill="1" applyBorder="1" applyAlignment="1">
      <alignment vertical="top" wrapText="1"/>
    </xf>
    <xf numFmtId="41" fontId="5" fillId="0" borderId="1" xfId="0" applyNumberFormat="1" applyFont="1" applyFill="1" applyBorder="1" applyAlignment="1">
      <alignment horizontal="center" vertical="top" wrapText="1"/>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0"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Fill="1" applyBorder="1" applyAlignment="1">
      <alignment vertical="top" wrapText="1"/>
    </xf>
    <xf numFmtId="168" fontId="6" fillId="0" borderId="6" xfId="8" applyNumberFormat="1" applyFont="1" applyFill="1" applyBorder="1" applyAlignment="1">
      <alignment horizontal="center" vertical="top" wrapText="1"/>
    </xf>
    <xf numFmtId="41" fontId="5" fillId="12"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Fill="1" applyBorder="1" applyAlignment="1">
      <alignment horizontal="center" vertical="top"/>
    </xf>
    <xf numFmtId="0" fontId="5" fillId="0" borderId="6" xfId="0" applyFont="1" applyFill="1" applyBorder="1" applyAlignment="1">
      <alignment horizontal="center" vertical="top"/>
    </xf>
    <xf numFmtId="41" fontId="5" fillId="0"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0" fontId="5" fillId="0" borderId="6" xfId="0" applyFont="1" applyFill="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0" fontId="5" fillId="0" borderId="6" xfId="0" applyFont="1" applyFill="1" applyBorder="1" applyAlignment="1">
      <alignment vertical="top" wrapText="1"/>
    </xf>
    <xf numFmtId="0" fontId="5" fillId="0" borderId="6" xfId="0" applyFont="1" applyFill="1" applyBorder="1" applyAlignment="1">
      <alignment vertical="top" wrapText="1"/>
    </xf>
    <xf numFmtId="41" fontId="5" fillId="0" borderId="5" xfId="0" applyNumberFormat="1" applyFont="1" applyFill="1" applyBorder="1" applyAlignment="1">
      <alignment horizontal="center" vertical="top"/>
    </xf>
    <xf numFmtId="0" fontId="5" fillId="0" borderId="6" xfId="0" applyFont="1" applyFill="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Fill="1" applyBorder="1" applyAlignment="1">
      <alignment horizontal="center" vertical="top"/>
    </xf>
    <xf numFmtId="0" fontId="5" fillId="0" borderId="6" xfId="0" applyFont="1" applyFill="1" applyBorder="1" applyAlignment="1">
      <alignment horizontal="center" vertical="top"/>
    </xf>
    <xf numFmtId="41" fontId="5" fillId="0" borderId="6" xfId="0" applyNumberFormat="1" applyFont="1" applyBorder="1" applyAlignment="1">
      <alignment horizontal="center" vertical="top"/>
    </xf>
    <xf numFmtId="41" fontId="5" fillId="3"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0" borderId="1" xfId="0" applyNumberFormat="1" applyFont="1" applyFill="1" applyBorder="1" applyAlignment="1">
      <alignment horizontal="center" vertical="top"/>
    </xf>
    <xf numFmtId="41" fontId="5" fillId="0" borderId="5" xfId="0" applyNumberFormat="1" applyFont="1" applyFill="1" applyBorder="1" applyAlignment="1">
      <alignment horizontal="center" vertical="top"/>
    </xf>
    <xf numFmtId="41" fontId="5" fillId="9" borderId="5" xfId="0" quotePrefix="1" applyNumberFormat="1" applyFont="1" applyFill="1" applyBorder="1" applyAlignment="1">
      <alignment vertical="top"/>
    </xf>
    <xf numFmtId="41" fontId="5" fillId="9" borderId="5" xfId="0" applyNumberFormat="1" applyFont="1" applyFill="1" applyBorder="1" applyAlignment="1">
      <alignment vertical="top"/>
    </xf>
    <xf numFmtId="0" fontId="5" fillId="0" borderId="5" xfId="0" applyFont="1" applyFill="1" applyBorder="1" applyAlignment="1">
      <alignment horizontal="center" vertical="top"/>
    </xf>
    <xf numFmtId="5" fontId="5" fillId="0" borderId="5" xfId="0" applyNumberFormat="1" applyFont="1" applyFill="1" applyBorder="1" applyAlignment="1">
      <alignment horizontal="center" vertical="top" wrapText="1"/>
    </xf>
    <xf numFmtId="164" fontId="5" fillId="0" borderId="1" xfId="0" applyNumberFormat="1" applyFont="1" applyFill="1" applyBorder="1" applyAlignment="1">
      <alignment horizontal="left" vertical="top" wrapText="1"/>
    </xf>
    <xf numFmtId="41" fontId="5" fillId="0" borderId="5" xfId="0" applyNumberFormat="1" applyFont="1" applyBorder="1" applyAlignment="1">
      <alignment horizontal="center" vertical="top"/>
    </xf>
    <xf numFmtId="41" fontId="5" fillId="7" borderId="6" xfId="0" applyNumberFormat="1" applyFont="1" applyFill="1" applyBorder="1" applyAlignment="1">
      <alignment vertical="top"/>
    </xf>
    <xf numFmtId="0" fontId="5" fillId="0" borderId="5" xfId="0" applyFont="1" applyBorder="1" applyAlignment="1">
      <alignment vertical="top"/>
    </xf>
    <xf numFmtId="0" fontId="5" fillId="11" borderId="5" xfId="0" applyFont="1" applyFill="1" applyBorder="1" applyAlignment="1">
      <alignment horizontal="left" vertical="top" wrapText="1"/>
    </xf>
    <xf numFmtId="0" fontId="5" fillId="11" borderId="6" xfId="0" applyFont="1" applyFill="1" applyBorder="1" applyAlignment="1">
      <alignment horizontal="center" vertical="top"/>
    </xf>
    <xf numFmtId="0" fontId="5" fillId="11" borderId="5" xfId="0" applyFont="1" applyFill="1" applyBorder="1" applyAlignment="1">
      <alignment horizontal="center" vertical="top" wrapText="1"/>
    </xf>
    <xf numFmtId="14" fontId="12" fillId="0" borderId="6" xfId="4" applyNumberFormat="1" applyBorder="1" applyAlignment="1">
      <alignment horizontal="center" vertical="top"/>
    </xf>
    <xf numFmtId="41" fontId="5" fillId="9" borderId="6" xfId="0" applyNumberFormat="1" applyFont="1" applyFill="1" applyBorder="1" applyAlignment="1">
      <alignment horizontal="center" vertical="top"/>
    </xf>
    <xf numFmtId="41" fontId="5" fillId="0" borderId="6" xfId="0" applyNumberFormat="1" applyFont="1" applyFill="1" applyBorder="1" applyAlignment="1">
      <alignment horizontal="center" vertical="top"/>
    </xf>
    <xf numFmtId="165" fontId="0" fillId="0" borderId="0" xfId="0" applyNumberFormat="1" applyFill="1"/>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3" borderId="6" xfId="0" applyNumberFormat="1" applyFont="1" applyFill="1" applyBorder="1" applyAlignment="1">
      <alignment horizontal="center" vertical="top"/>
    </xf>
    <xf numFmtId="5" fontId="5" fillId="0" borderId="6" xfId="0" applyNumberFormat="1" applyFont="1" applyFill="1" applyBorder="1" applyAlignment="1">
      <alignment horizontal="center" vertical="top" wrapText="1"/>
    </xf>
    <xf numFmtId="14" fontId="12" fillId="0" borderId="6" xfId="4" applyNumberFormat="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3" borderId="6" xfId="0" applyNumberFormat="1" applyFont="1" applyFill="1" applyBorder="1" applyAlignment="1">
      <alignment horizontal="center" vertical="top"/>
    </xf>
    <xf numFmtId="0" fontId="5" fillId="0" borderId="6" xfId="0" applyFont="1" applyFill="1" applyBorder="1" applyAlignment="1">
      <alignment horizontal="center"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14" fontId="12" fillId="0" borderId="6" xfId="4" applyNumberFormat="1" applyBorder="1" applyAlignment="1">
      <alignment horizontal="center" vertical="top"/>
    </xf>
    <xf numFmtId="0" fontId="5" fillId="11" borderId="6" xfId="0" applyFont="1" applyFill="1" applyBorder="1" applyAlignment="1">
      <alignment horizontal="left" vertical="center" wrapText="1"/>
    </xf>
    <xf numFmtId="0" fontId="5" fillId="11" borderId="6" xfId="0" applyFont="1" applyFill="1" applyBorder="1" applyAlignment="1">
      <alignment horizontal="left" vertical="top" wrapText="1"/>
    </xf>
    <xf numFmtId="0" fontId="5" fillId="11" borderId="6" xfId="0" applyFont="1" applyFill="1" applyBorder="1" applyAlignment="1">
      <alignment horizontal="center" vertical="top" wrapText="1"/>
    </xf>
    <xf numFmtId="0" fontId="5" fillId="11" borderId="6" xfId="0" applyFont="1" applyFill="1" applyBorder="1" applyAlignment="1">
      <alignment vertical="top" wrapText="1"/>
    </xf>
    <xf numFmtId="0" fontId="5" fillId="11" borderId="6" xfId="0" applyFont="1" applyFill="1" applyBorder="1" applyAlignment="1">
      <alignment vertical="top"/>
    </xf>
    <xf numFmtId="41" fontId="0" fillId="0" borderId="0" xfId="0" applyNumberFormat="1" applyFill="1" applyAlignment="1">
      <alignment vertical="center" wrapText="1"/>
    </xf>
    <xf numFmtId="41" fontId="5" fillId="0" borderId="1" xfId="0" applyNumberFormat="1" applyFont="1" applyBorder="1" applyAlignment="1">
      <alignment horizontal="center" vertical="top"/>
    </xf>
    <xf numFmtId="41" fontId="5" fillId="0" borderId="5" xfId="0" applyNumberFormat="1" applyFont="1" applyBorder="1" applyAlignment="1">
      <alignment horizontal="center" vertical="top"/>
    </xf>
    <xf numFmtId="0" fontId="1" fillId="0" borderId="4" xfId="0" applyFont="1" applyBorder="1" applyAlignment="1">
      <alignment horizontal="center" wrapText="1"/>
    </xf>
    <xf numFmtId="41" fontId="1" fillId="7" borderId="2" xfId="0" applyNumberFormat="1" applyFont="1" applyFill="1" applyBorder="1" applyAlignment="1">
      <alignment horizontal="center" wrapText="1"/>
    </xf>
    <xf numFmtId="41" fontId="1" fillId="7" borderId="2" xfId="0" applyNumberFormat="1" applyFont="1" applyFill="1" applyBorder="1" applyAlignment="1">
      <alignment wrapText="1"/>
    </xf>
    <xf numFmtId="0" fontId="1" fillId="7" borderId="2" xfId="0" applyFont="1" applyFill="1" applyBorder="1" applyAlignment="1">
      <alignment wrapText="1"/>
    </xf>
    <xf numFmtId="41" fontId="1" fillId="4" borderId="2" xfId="0" applyNumberFormat="1" applyFont="1" applyFill="1" applyBorder="1" applyAlignment="1">
      <alignment horizontal="center" wrapText="1"/>
    </xf>
    <xf numFmtId="41" fontId="0" fillId="4" borderId="2" xfId="0" applyNumberFormat="1" applyFill="1" applyBorder="1" applyAlignment="1">
      <alignment wrapText="1"/>
    </xf>
    <xf numFmtId="0" fontId="0" fillId="4" borderId="2" xfId="0" applyFill="1" applyBorder="1" applyAlignment="1">
      <alignment wrapText="1"/>
    </xf>
    <xf numFmtId="41" fontId="0" fillId="0" borderId="0" xfId="0" applyNumberFormat="1" applyFill="1" applyAlignment="1">
      <alignment vertical="center" wrapText="1"/>
    </xf>
    <xf numFmtId="0" fontId="5" fillId="0" borderId="1" xfId="0" applyFont="1" applyFill="1" applyBorder="1" applyAlignment="1">
      <alignment horizontal="center" vertical="top"/>
    </xf>
    <xf numFmtId="0" fontId="5" fillId="0" borderId="5" xfId="0" applyFont="1" applyFill="1" applyBorder="1" applyAlignment="1">
      <alignment horizontal="center" vertical="top"/>
    </xf>
    <xf numFmtId="0" fontId="5" fillId="0" borderId="1" xfId="0" applyFont="1" applyBorder="1" applyAlignment="1">
      <alignment horizontal="right" vertical="top"/>
    </xf>
    <xf numFmtId="0" fontId="5" fillId="0" borderId="5" xfId="0" applyFont="1" applyBorder="1" applyAlignment="1">
      <alignment horizontal="right" vertical="top"/>
    </xf>
    <xf numFmtId="5" fontId="5" fillId="0" borderId="1" xfId="0" applyNumberFormat="1" applyFont="1" applyFill="1" applyBorder="1" applyAlignment="1">
      <alignment horizontal="center" vertical="top" wrapText="1"/>
    </xf>
    <xf numFmtId="5" fontId="5" fillId="0" borderId="5" xfId="0" applyNumberFormat="1" applyFont="1" applyFill="1" applyBorder="1" applyAlignment="1">
      <alignment horizontal="center" vertical="top" wrapText="1"/>
    </xf>
    <xf numFmtId="164" fontId="5" fillId="0" borderId="1" xfId="0" applyNumberFormat="1" applyFont="1" applyFill="1" applyBorder="1" applyAlignment="1">
      <alignment horizontal="left" vertical="top" wrapText="1"/>
    </xf>
    <xf numFmtId="164" fontId="5" fillId="0" borderId="5" xfId="0" applyNumberFormat="1" applyFont="1" applyFill="1" applyBorder="1" applyAlignment="1">
      <alignment horizontal="left" vertical="top" wrapText="1"/>
    </xf>
    <xf numFmtId="41" fontId="5" fillId="0" borderId="1" xfId="0" applyNumberFormat="1" applyFont="1" applyFill="1" applyBorder="1" applyAlignment="1">
      <alignment horizontal="center" vertical="top"/>
    </xf>
    <xf numFmtId="41" fontId="5" fillId="0" borderId="5" xfId="0" applyNumberFormat="1" applyFont="1" applyFill="1" applyBorder="1" applyAlignment="1">
      <alignment horizontal="center" vertical="top"/>
    </xf>
    <xf numFmtId="41" fontId="5" fillId="3" borderId="1" xfId="0" applyNumberFormat="1" applyFont="1" applyFill="1" applyBorder="1" applyAlignment="1">
      <alignment horizontal="center" vertical="top"/>
    </xf>
    <xf numFmtId="41" fontId="5" fillId="3" borderId="5" xfId="0" applyNumberFormat="1" applyFont="1" applyFill="1" applyBorder="1" applyAlignment="1">
      <alignment horizontal="center" vertical="top"/>
    </xf>
    <xf numFmtId="41" fontId="5" fillId="9" borderId="6" xfId="0" quotePrefix="1" applyNumberFormat="1" applyFont="1" applyFill="1" applyBorder="1" applyAlignment="1">
      <alignment horizontal="center" vertical="top"/>
    </xf>
    <xf numFmtId="41" fontId="5" fillId="9" borderId="7" xfId="0" quotePrefix="1"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5" fillId="9" borderId="7"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4" fillId="4" borderId="7" xfId="0" applyNumberFormat="1" applyFont="1" applyFill="1" applyBorder="1" applyAlignment="1">
      <alignment horizontal="center" vertical="top"/>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Border="1" applyAlignment="1">
      <alignment horizontal="center" vertical="top"/>
    </xf>
    <xf numFmtId="0" fontId="5" fillId="0" borderId="7" xfId="0" applyFont="1" applyBorder="1" applyAlignment="1">
      <alignment horizontal="center" vertical="top"/>
    </xf>
    <xf numFmtId="14" fontId="5" fillId="0" borderId="6" xfId="0" applyNumberFormat="1" applyFont="1" applyBorder="1" applyAlignment="1">
      <alignment horizontal="center" vertical="top"/>
    </xf>
    <xf numFmtId="14" fontId="5" fillId="0" borderId="7" xfId="0" applyNumberFormat="1" applyFont="1" applyBorder="1" applyAlignment="1">
      <alignment horizontal="center" vertical="top"/>
    </xf>
    <xf numFmtId="14" fontId="10" fillId="0" borderId="6" xfId="2" applyNumberFormat="1" applyBorder="1" applyAlignment="1">
      <alignment horizontal="center" vertical="top"/>
    </xf>
    <xf numFmtId="14" fontId="10" fillId="0" borderId="7" xfId="2" applyNumberFormat="1" applyBorder="1" applyAlignment="1">
      <alignment horizontal="center" vertical="top"/>
    </xf>
    <xf numFmtId="0" fontId="5" fillId="0" borderId="6" xfId="0" applyFont="1" applyFill="1" applyBorder="1" applyAlignment="1">
      <alignment horizontal="left" vertical="top" wrapText="1"/>
    </xf>
    <xf numFmtId="0" fontId="5" fillId="0" borderId="6" xfId="0" applyFont="1" applyFill="1" applyBorder="1" applyAlignment="1">
      <alignment horizontal="center" vertical="top"/>
    </xf>
    <xf numFmtId="0" fontId="5" fillId="0" borderId="7" xfId="0" applyFont="1" applyFill="1" applyBorder="1" applyAlignment="1">
      <alignment horizontal="center" vertical="top"/>
    </xf>
    <xf numFmtId="0" fontId="5" fillId="0" borderId="6" xfId="0" applyFont="1" applyBorder="1" applyAlignment="1">
      <alignment horizontal="right" vertical="top"/>
    </xf>
    <xf numFmtId="0" fontId="5" fillId="0" borderId="7" xfId="0" applyFont="1" applyBorder="1" applyAlignment="1">
      <alignment horizontal="right" vertical="top"/>
    </xf>
    <xf numFmtId="5" fontId="5" fillId="0" borderId="6" xfId="0" applyNumberFormat="1" applyFont="1" applyFill="1" applyBorder="1" applyAlignment="1">
      <alignment horizontal="center" vertical="top" wrapText="1"/>
    </xf>
    <xf numFmtId="5" fontId="5" fillId="0" borderId="7"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7"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5" fillId="0" borderId="7"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3" borderId="7"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7" borderId="7" xfId="0" applyNumberFormat="1" applyFont="1" applyFill="1" applyBorder="1" applyAlignment="1">
      <alignment horizontal="center" vertical="top"/>
    </xf>
    <xf numFmtId="0" fontId="5" fillId="0" borderId="1" xfId="0" applyFont="1" applyBorder="1" applyAlignment="1">
      <alignment vertical="top"/>
    </xf>
    <xf numFmtId="0" fontId="5" fillId="0" borderId="5" xfId="0" applyFont="1" applyBorder="1" applyAlignment="1">
      <alignment vertical="top"/>
    </xf>
    <xf numFmtId="0" fontId="5" fillId="0" borderId="7"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5" xfId="0" applyFont="1" applyFill="1" applyBorder="1" applyAlignment="1">
      <alignment horizontal="center" vertical="top" wrapText="1"/>
    </xf>
    <xf numFmtId="41" fontId="5" fillId="7" borderId="1" xfId="0" applyNumberFormat="1" applyFont="1" applyFill="1" applyBorder="1" applyAlignment="1">
      <alignment vertical="top"/>
    </xf>
    <xf numFmtId="41" fontId="5" fillId="7" borderId="5" xfId="0" applyNumberFormat="1" applyFont="1" applyFill="1" applyBorder="1" applyAlignment="1">
      <alignment vertical="top"/>
    </xf>
    <xf numFmtId="41" fontId="4" fillId="6" borderId="5"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1" xfId="0" applyNumberFormat="1" applyFont="1" applyFill="1" applyBorder="1" applyAlignment="1">
      <alignment vertical="top"/>
    </xf>
    <xf numFmtId="41" fontId="5" fillId="9" borderId="5" xfId="0" applyNumberFormat="1" applyFont="1" applyFill="1" applyBorder="1" applyAlignment="1">
      <alignment vertical="top"/>
    </xf>
    <xf numFmtId="41" fontId="5" fillId="9" borderId="5" xfId="0" applyNumberFormat="1" applyFont="1" applyFill="1" applyBorder="1" applyAlignment="1">
      <alignment horizontal="center" vertical="top"/>
    </xf>
    <xf numFmtId="41" fontId="4" fillId="4" borderId="5" xfId="0" applyNumberFormat="1" applyFont="1" applyFill="1" applyBorder="1" applyAlignment="1">
      <alignment horizontal="center" vertical="top"/>
    </xf>
    <xf numFmtId="41" fontId="5" fillId="7" borderId="6" xfId="0" applyNumberFormat="1" applyFont="1" applyFill="1" applyBorder="1" applyAlignment="1">
      <alignment vertical="top"/>
    </xf>
    <xf numFmtId="41" fontId="5" fillId="9" borderId="1" xfId="0" quotePrefix="1" applyNumberFormat="1" applyFont="1" applyFill="1" applyBorder="1" applyAlignment="1">
      <alignment vertical="top"/>
    </xf>
    <xf numFmtId="41" fontId="5" fillId="9" borderId="5" xfId="0" quotePrefix="1" applyNumberFormat="1" applyFont="1" applyFill="1" applyBorder="1" applyAlignment="1">
      <alignment vertical="top"/>
    </xf>
    <xf numFmtId="41" fontId="5" fillId="9" borderId="1" xfId="0" applyNumberFormat="1" applyFont="1" applyFill="1" applyBorder="1" applyAlignment="1">
      <alignment horizontal="center" vertical="top"/>
    </xf>
    <xf numFmtId="41" fontId="4" fillId="4" borderId="1" xfId="0" applyNumberFormat="1" applyFont="1" applyFill="1" applyBorder="1" applyAlignment="1">
      <alignment horizontal="center" vertical="top"/>
    </xf>
    <xf numFmtId="41" fontId="4" fillId="6" borderId="1" xfId="0" applyNumberFormat="1" applyFont="1" applyFill="1" applyBorder="1" applyAlignment="1">
      <alignment horizontal="center" vertical="top"/>
    </xf>
    <xf numFmtId="41" fontId="4" fillId="6" borderId="7" xfId="0" applyNumberFormat="1" applyFont="1" applyFill="1" applyBorder="1" applyAlignment="1">
      <alignment horizontal="center" vertical="top"/>
    </xf>
  </cellXfs>
  <cellStyles count="9">
    <cellStyle name="Comma" xfId="5" builtinId="3"/>
    <cellStyle name="Hyperlink" xfId="4" builtinId="8"/>
    <cellStyle name="Hyperlink 2" xfId="2"/>
    <cellStyle name="Hyperlink 3" xfId="1"/>
    <cellStyle name="Normal" xfId="0" builtinId="0"/>
    <cellStyle name="Normal 2" xfId="3"/>
    <cellStyle name="Normal 3" xfId="6"/>
    <cellStyle name="Normal 4" xfId="7"/>
    <cellStyle name="Percent" xfId="8" builtinId="5"/>
  </cellStyles>
  <dxfs count="0"/>
  <tableStyles count="0" defaultTableStyle="TableStyleMedium9" defaultPivotStyle="PivotStyleMedium4"/>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hattanooga.gov/city-council-files/OrdinancesAndResolutions/Resolutions/Resolutions%202012/27337_PILOT_UTC_Three.pdf" TargetMode="External"/><Relationship Id="rId18" Type="http://schemas.openxmlformats.org/officeDocument/2006/relationships/hyperlink" Target="http://resolutions.hamiltontn.gov/resolutions/2002/302-41A.pdf" TargetMode="External"/><Relationship Id="rId26" Type="http://schemas.openxmlformats.org/officeDocument/2006/relationships/hyperlink" Target="http://resolutions.hamiltontn.gov/resolutions/2014/714-31.pdf" TargetMode="External"/><Relationship Id="rId39" Type="http://schemas.openxmlformats.org/officeDocument/2006/relationships/hyperlink" Target="http://www.chattanooga.gov/city-council-files/OrdinancesAndResolutions/Resolutions/Resolutions%202015/28256%20PILOT%20The%20KORE%20Company.pdf" TargetMode="External"/><Relationship Id="rId21" Type="http://schemas.openxmlformats.org/officeDocument/2006/relationships/hyperlink" Target="http://resolutions.hamiltontn.gov/resolutions/2014/614-19.pdf" TargetMode="External"/><Relationship Id="rId34" Type="http://schemas.openxmlformats.org/officeDocument/2006/relationships/hyperlink" Target="http://www.chattanooga.gov/city-council-files/OrdinancesAndResolutions/Resolutions/Resolutions%202015/28301%20PILOT%20Expansion%20Gestamp.pdf" TargetMode="External"/><Relationship Id="rId42" Type="http://schemas.openxmlformats.org/officeDocument/2006/relationships/hyperlink" Target="http://www.chattanooga.gov/city-council-files/OrdinancesAndResolutions/Resolutions/Resolutions%202015/28424%20PILOT%20Gestamp.pdf" TargetMode="External"/><Relationship Id="rId47" Type="http://schemas.openxmlformats.org/officeDocument/2006/relationships/hyperlink" Target="http://www.chattanooga.gov/city-council-files/OrdinancesAndResolutions/Resolutions/Resolutions%202016/28815%20PILOT-ECG%20Chestnut%20LP.pdf" TargetMode="External"/><Relationship Id="rId50" Type="http://schemas.openxmlformats.org/officeDocument/2006/relationships/hyperlink" Target="http://www.chattanooga.gov/city-council-files/OrdinancesAndResolutions/Resolutions/Resolutions%202010/26502%20Aut%20Mayor%20to%20enter%20into%20agreements%20with%20Amazon.com%20project.pdf" TargetMode="External"/><Relationship Id="rId55" Type="http://schemas.openxmlformats.org/officeDocument/2006/relationships/hyperlink" Target="http://www.chattanooga.gov/city-council-files/OrdinancesAndResolutions/Resolutions/Resolutions%202017/29035%20PILOT%20HomeServ.pdf" TargetMode="External"/><Relationship Id="rId63" Type="http://schemas.openxmlformats.org/officeDocument/2006/relationships/hyperlink" Target="http://chattanooga.gov/city-council-files/OrdinancesAndResolutions/Resolutions/Resolutions%202018/29336%20Economic%20Impact%20Plan%20ML%20King%20v2.pdf" TargetMode="External"/><Relationship Id="rId68" Type="http://schemas.openxmlformats.org/officeDocument/2006/relationships/hyperlink" Target="http://www.chattanooga.gov/city-council-files/OrdinancesAndResolutions/Resolutions/Resolutions%202018/29634%20PILOT%20-%20Ridgeway%20Apartments.pdf" TargetMode="External"/><Relationship Id="rId76" Type="http://schemas.openxmlformats.org/officeDocument/2006/relationships/hyperlink" Target="http://resolutions.hamiltontn.gov/resolutions/2019/1219-27.pdf" TargetMode="External"/><Relationship Id="rId84" Type="http://schemas.openxmlformats.org/officeDocument/2006/relationships/hyperlink" Target="http://resolutions.hamiltontn.gov/resolutions/2021/721-6.pdf" TargetMode="External"/><Relationship Id="rId89" Type="http://schemas.openxmlformats.org/officeDocument/2006/relationships/hyperlink" Target="https://chattanooga.gov/city-council-files/OrdinancesAndResolutions/Resolutions/Resolutions%202021/30660%20PILOT%20-%20The%20Reserve%20at%20Mountain%20Pass.pdf" TargetMode="External"/><Relationship Id="rId7" Type="http://schemas.openxmlformats.org/officeDocument/2006/relationships/hyperlink" Target="http://www.chattanooga.gov/city-council-files/OrdinancesAndResolutions/Resolutions/Resolutions%202014/28072%20PILOT%20Southern%20Champion.pdf" TargetMode="External"/><Relationship Id="rId71" Type="http://schemas.openxmlformats.org/officeDocument/2006/relationships/hyperlink" Target="http://www.chattanooga.gov/city-council-files/OrdinancesAndResolutions/Resolutions/Resolutions%202018/29744%20PILOT%20Patten%20Towers.pdf" TargetMode="External"/><Relationship Id="rId2" Type="http://schemas.openxmlformats.org/officeDocument/2006/relationships/hyperlink" Target="http://www.chattanooga.gov/city-council-files/OrdinancesAndResolutions/Resolutions/Resolutions%202010/26502%20Aut%20Mayor%20to%20enter%20into%20agreements%20with%20Amazon.com%20project.pdf" TargetMode="External"/><Relationship Id="rId16" Type="http://schemas.openxmlformats.org/officeDocument/2006/relationships/hyperlink" Target="http://www.hamiltontn.gov/pdf/PILOT/CollegedaleResolution293.pdf" TargetMode="External"/><Relationship Id="rId29" Type="http://schemas.openxmlformats.org/officeDocument/2006/relationships/hyperlink" Target="http://resolutions.hamiltontn.gov/resolutions/2002/302-41A.pdf" TargetMode="External"/><Relationship Id="rId11" Type="http://schemas.openxmlformats.org/officeDocument/2006/relationships/hyperlink" Target="http://www.chattanooga.gov/city-council-files/OrdinancesAndResolutions/Resolutions/Resolutions%202010/26441%20Make%20certain%20findings%20relating%20to%20Wm%20Wrigley%20Jr.%20Co.%20Project.pdf" TargetMode="External"/><Relationship Id="rId24" Type="http://schemas.openxmlformats.org/officeDocument/2006/relationships/hyperlink" Target="http://resolutions.hamiltontn.gov/resolutions/2014/1214-8.pdf" TargetMode="External"/><Relationship Id="rId32" Type="http://schemas.openxmlformats.org/officeDocument/2006/relationships/hyperlink" Target="http://www.chattanooga.gov/city-council-files/OrdinancesAndResolutions/Resolutions/Resolutions%202015/28233%20PILOT%20Heritage-Maclellan.pdf" TargetMode="External"/><Relationship Id="rId37" Type="http://schemas.openxmlformats.org/officeDocument/2006/relationships/hyperlink" Target="http://resolutions.hamiltontn.gov/resolutions/2015/715-16.pdf" TargetMode="External"/><Relationship Id="rId40" Type="http://schemas.openxmlformats.org/officeDocument/2006/relationships/hyperlink" Target="http://resolutions.hamiltontn.gov/resolutions/2009/1109-52.pdf" TargetMode="External"/><Relationship Id="rId45" Type="http://schemas.openxmlformats.org/officeDocument/2006/relationships/hyperlink" Target="http://www.chattanooga.gov/city-council-files/OrdinancesAndResolutions/Resolutions/Resolutions%202016/28501%20PILOT%20Yanfeng.pdf" TargetMode="External"/><Relationship Id="rId53" Type="http://schemas.openxmlformats.org/officeDocument/2006/relationships/hyperlink" Target="http://www.chattanooga.gov/city-council-files/OrdinancesAndResolutions/Resolutions/Resolutions%202005/24361%20Authorize%20BlueCross%20BlueShield%20PILOT%20Agreement.pdf" TargetMode="External"/><Relationship Id="rId58" Type="http://schemas.openxmlformats.org/officeDocument/2006/relationships/hyperlink" Target="http://www.chattanooga.gov/city-council-files/OrdinancesAndResolutions/Resolutions/Resolutions%202015/28139%20PILOT%20UTC%20Five.pdf" TargetMode="External"/><Relationship Id="rId66" Type="http://schemas.openxmlformats.org/officeDocument/2006/relationships/hyperlink" Target="http://www.chattanooga.gov/city-council-files/OrdinancesAndResolutions/Resolutions/Resolutions%202017/29215%20PILOT%20Bayberry%20Apts%20v3.pdf" TargetMode="External"/><Relationship Id="rId74" Type="http://schemas.openxmlformats.org/officeDocument/2006/relationships/hyperlink" Target="http://www.chattanooga.gov/city-council-files/OrdinancesAndResolutions/Resolutions/Resolutions%202019/29847%20Amend%20PILOT%20for%20Gestamp%20$48%20million.pdf" TargetMode="External"/><Relationship Id="rId79" Type="http://schemas.openxmlformats.org/officeDocument/2006/relationships/hyperlink" Target="http://www.hamiltontn.gov/PDF/docs/SKM_C36820120312030.pdf" TargetMode="External"/><Relationship Id="rId87" Type="http://schemas.openxmlformats.org/officeDocument/2006/relationships/hyperlink" Target="https://chattanooga.gov/city-council-files/OrdinancesAndResolutions/Resolutions/Resolutions%202021/30938%20PILOT%20-%20Steam%20Logistics.pdf" TargetMode="External"/><Relationship Id="rId5" Type="http://schemas.openxmlformats.org/officeDocument/2006/relationships/hyperlink" Target="http://www.chattanooga.gov/city-council-files/OrdinancesAndResolutions/Resolutions/Resolutions%202009/25843%20Auth%20PILOT%20Agmt%20-%20Provident.pdf" TargetMode="External"/><Relationship Id="rId61" Type="http://schemas.openxmlformats.org/officeDocument/2006/relationships/hyperlink" Target="http://resolutions.hamiltontn.gov/resolutions/2012/612-27.pdf" TargetMode="External"/><Relationship Id="rId82" Type="http://schemas.openxmlformats.org/officeDocument/2006/relationships/hyperlink" Target="http://www.chattanooga.gov/city-council-files/OrdinancesAndResolutions/Resolutions/Resolutions%202021/30649%20PILOT%20-%20CNE-Mai%20Bell%202.pdf" TargetMode="External"/><Relationship Id="rId90" Type="http://schemas.openxmlformats.org/officeDocument/2006/relationships/hyperlink" Target="https://chattanooga.gov/city-council-files/OrdinancesAndResolutions/Resolutions/Resolutions%202020/30577%202020-12-02%20PILOT%20Resolution%20-%20Battery%20Heights.pdf" TargetMode="External"/><Relationship Id="rId19" Type="http://schemas.openxmlformats.org/officeDocument/2006/relationships/hyperlink" Target="http://resolutions.hamiltontn.gov/resolutions/2014/314-25.pdf" TargetMode="External"/><Relationship Id="rId14" Type="http://schemas.openxmlformats.org/officeDocument/2006/relationships/hyperlink" Target="http://www.chattanooga.gov/city-council-files/OrdinancesAndResolutions/Resolutions/Resolutions%202012/27336_PILOT_UTC_Two.pdf" TargetMode="External"/><Relationship Id="rId22" Type="http://schemas.openxmlformats.org/officeDocument/2006/relationships/hyperlink" Target="http://resolutions.hamiltontn.gov/resolutions/2009/309-37.pdf" TargetMode="External"/><Relationship Id="rId27" Type="http://schemas.openxmlformats.org/officeDocument/2006/relationships/hyperlink" Target="http://resolutions.hamiltontn.gov/resolutions/2006/1006-36.pdf" TargetMode="External"/><Relationship Id="rId30" Type="http://schemas.openxmlformats.org/officeDocument/2006/relationships/hyperlink" Target="http://resolutions.hamiltontn.gov/resolutions/2012/1212-21.pdf" TargetMode="External"/><Relationship Id="rId35" Type="http://schemas.openxmlformats.org/officeDocument/2006/relationships/hyperlink" Target="http://www.chattanooga.gov/city-council-files/OrdinancesAndResolutions/Resolutions/Resolutions%202015/28302%20PILOT%20NEW%20Gestamp%20North%20America.pdf" TargetMode="External"/><Relationship Id="rId43" Type="http://schemas.openxmlformats.org/officeDocument/2006/relationships/hyperlink" Target="http://resolutions.hamiltontn.gov/resolutions/2015/1015-20.pdf" TargetMode="External"/><Relationship Id="rId48" Type="http://schemas.openxmlformats.org/officeDocument/2006/relationships/hyperlink" Target="http://resolutions.hamiltontn.gov/resolutions/2016/1116-3.pdf" TargetMode="External"/><Relationship Id="rId56" Type="http://schemas.openxmlformats.org/officeDocument/2006/relationships/hyperlink" Target="http://resolutions.hamiltontn.gov/resolutions/2017/517-30.pdf" TargetMode="External"/><Relationship Id="rId64" Type="http://schemas.openxmlformats.org/officeDocument/2006/relationships/hyperlink" Target="http://www.chattanooga.gov/city-council-files/OrdinancesAndResolutions/Resolutions/Resolutions%202012/27143%20App%20Economic%20Impact%20Plan%20for%20Black%20Creek%20Mountain.pdf" TargetMode="External"/><Relationship Id="rId69" Type="http://schemas.openxmlformats.org/officeDocument/2006/relationships/hyperlink" Target="http://www.chattanooga.gov/city-council-files/OrdinancesAndResolutions/Resolutions/Resolutions%202017/29248%20PILOT%20-%20M_M%20Industries.pdf" TargetMode="External"/><Relationship Id="rId77" Type="http://schemas.openxmlformats.org/officeDocument/2006/relationships/hyperlink" Target="http://resolutions.hamiltontn.gov/resolutions/2020/320-25.pdf" TargetMode="External"/><Relationship Id="rId8" Type="http://schemas.openxmlformats.org/officeDocument/2006/relationships/hyperlink" Target="http://www.chattanooga.gov/city-council-files/OrdinancesAndResolutions/Resolutions/Resolutions%202008/25738%20Auth%20PILOT%20Agmt%20-%20Volkswagen.pdf" TargetMode="External"/><Relationship Id="rId51" Type="http://schemas.openxmlformats.org/officeDocument/2006/relationships/hyperlink" Target="http://resolutions.hamiltontn.gov/resolutions/2016/1216-8.pdf" TargetMode="External"/><Relationship Id="rId72" Type="http://schemas.openxmlformats.org/officeDocument/2006/relationships/hyperlink" Target="http://resolutions.hamiltontn.gov/resolutions/2019/119-16.pdf" TargetMode="External"/><Relationship Id="rId80" Type="http://schemas.openxmlformats.org/officeDocument/2006/relationships/hyperlink" Target="http://www.hamiltontn.gov/PDF/docs/SKM_C36820120312130.pdf" TargetMode="External"/><Relationship Id="rId85" Type="http://schemas.openxmlformats.org/officeDocument/2006/relationships/hyperlink" Target="http://resolutions.hamiltontn.gov/resolutions/2021/421-30.pdf" TargetMode="External"/><Relationship Id="rId3" Type="http://schemas.openxmlformats.org/officeDocument/2006/relationships/hyperlink" Target="http://www.chattanooga.gov/city-council-files/OrdinancesAndResolutions/Resolutions/Resolutions%202010/26356%20Aut%20amendment%20to%20payment%20in%20lieu%20of%20tax%20agreement%20with%20Gestamp.pdf" TargetMode="External"/><Relationship Id="rId12" Type="http://schemas.openxmlformats.org/officeDocument/2006/relationships/hyperlink" Target="http://www.chattanooga.gov/city-council-files/OrdinancesAndResolutions/Resolutions/Resolutions%202002/23253%20Downtown%20Housing%20Initiative%20.doc" TargetMode="External"/><Relationship Id="rId17" Type="http://schemas.openxmlformats.org/officeDocument/2006/relationships/hyperlink" Target="http://resolutions.hamiltontn.gov/resolutions/2006/706-17.pdf" TargetMode="External"/><Relationship Id="rId25" Type="http://schemas.openxmlformats.org/officeDocument/2006/relationships/hyperlink" Target="http://resolutions.hamiltontn.gov/resolutions/2008/1108-43.pdf" TargetMode="External"/><Relationship Id="rId33" Type="http://schemas.openxmlformats.org/officeDocument/2006/relationships/hyperlink" Target="http://resolutions.hamiltontn.gov/resolutions/2015/515-28.pdf" TargetMode="External"/><Relationship Id="rId38" Type="http://schemas.openxmlformats.org/officeDocument/2006/relationships/hyperlink" Target="http://resolutions.hamiltontn.gov/resolutions/2015/715-17.pdf" TargetMode="External"/><Relationship Id="rId46" Type="http://schemas.openxmlformats.org/officeDocument/2006/relationships/hyperlink" Target="http://resolutions.hamiltontn.gov/resolutions/2016/116-27.pdf" TargetMode="External"/><Relationship Id="rId59" Type="http://schemas.openxmlformats.org/officeDocument/2006/relationships/hyperlink" Target="http://www.chattanooga.gov/city-council-files/OrdinancesAndResolutions/Resolutions/Resolutions%202015/28336%20PILOT%20Simpson%20Organization.pdf" TargetMode="External"/><Relationship Id="rId67" Type="http://schemas.openxmlformats.org/officeDocument/2006/relationships/hyperlink" Target="http://resolutions.hamiltontn.gov/resolutions/2018/1018-4.pdf" TargetMode="External"/><Relationship Id="rId20" Type="http://schemas.openxmlformats.org/officeDocument/2006/relationships/hyperlink" Target="http://resolutions.hamiltontn.gov/resolutions/2010/1210-12.pdf" TargetMode="External"/><Relationship Id="rId41" Type="http://schemas.openxmlformats.org/officeDocument/2006/relationships/hyperlink" Target="http://resolutions.hamiltontn.gov/resolutions/2010/710-4.pdf" TargetMode="External"/><Relationship Id="rId54" Type="http://schemas.openxmlformats.org/officeDocument/2006/relationships/hyperlink" Target="http://resolutions.hamiltontn.gov/resolutions/2005/305-34.pdf" TargetMode="External"/><Relationship Id="rId62" Type="http://schemas.openxmlformats.org/officeDocument/2006/relationships/hyperlink" Target="http://resolutions.hamiltontn.gov/resolutions/2018/318-14.pdf" TargetMode="External"/><Relationship Id="rId70" Type="http://schemas.openxmlformats.org/officeDocument/2006/relationships/hyperlink" Target="http://resolutions.hamiltontn.gov/resolutions/2017/1117-27.pdf" TargetMode="External"/><Relationship Id="rId75" Type="http://schemas.openxmlformats.org/officeDocument/2006/relationships/hyperlink" Target="http://www.chattanooga.gov/city-council-files/OrdinancesAndResolutions/Resolutions/Resolutions%202019/30103%20TIF%20East%20Chattanooga%20-%20Tubman%20Site.pdf" TargetMode="External"/><Relationship Id="rId83" Type="http://schemas.openxmlformats.org/officeDocument/2006/relationships/hyperlink" Target="http://resolutions.hamiltontn.gov/resolutions/2021/1121-33.pdf" TargetMode="External"/><Relationship Id="rId88" Type="http://schemas.openxmlformats.org/officeDocument/2006/relationships/hyperlink" Target="https://chattanooga.gov/city-council-files/OrdinancesAndResolutions/Resolutions/Resolutions%202021/30824%20PILOT%20PUREGraphite.pdf" TargetMode="External"/><Relationship Id="rId91" Type="http://schemas.openxmlformats.org/officeDocument/2006/relationships/printerSettings" Target="../printerSettings/printerSettings1.bin"/><Relationship Id="rId1" Type="http://schemas.openxmlformats.org/officeDocument/2006/relationships/hyperlink" Target="http://www.chattanooga.gov/city-council-files/OrdinancesAndResolutions/Resolutions/Resolutions%202014/27804%20Coca-Cola%20PILOT.pdf" TargetMode="External"/><Relationship Id="rId6" Type="http://schemas.openxmlformats.org/officeDocument/2006/relationships/hyperlink" Target="http://www.chattanooga.gov/city-council-files/OrdinancesAndResolutions/Resolutions/Resolutions%202008/25682%20Auth%20PILOT%20Agmt%20-%20RiverCity%20Company%20-%20Movie%20Theater.pdf" TargetMode="External"/><Relationship Id="rId15" Type="http://schemas.openxmlformats.org/officeDocument/2006/relationships/hyperlink" Target="http://www.chattanooga.gov/city-council-files/OrdinancesAndResolutions/Resolutions/Resolutions%202002/23253%20Downtown%20Housing%20Initiative%20.doc" TargetMode="External"/><Relationship Id="rId23" Type="http://schemas.openxmlformats.org/officeDocument/2006/relationships/hyperlink" Target="http://resolutions.hamiltontn.gov/resolutions/2008/1008-27.pdf" TargetMode="External"/><Relationship Id="rId28" Type="http://schemas.openxmlformats.org/officeDocument/2006/relationships/hyperlink" Target="http://resolutions.hamiltontn.gov/resolutions/2010/1010-8.pdf" TargetMode="External"/><Relationship Id="rId36" Type="http://schemas.openxmlformats.org/officeDocument/2006/relationships/hyperlink" Target="http://resolutions.hamiltontn.gov/resolutions/2015/715-15.pdf" TargetMode="External"/><Relationship Id="rId49" Type="http://schemas.openxmlformats.org/officeDocument/2006/relationships/hyperlink" Target="http://resolutions.hamiltontn.gov/resolutions/2010/1210-12.pdf" TargetMode="External"/><Relationship Id="rId57" Type="http://schemas.openxmlformats.org/officeDocument/2006/relationships/hyperlink" Target="http://resolutions.hamiltontn.gov/resolutions/2015/215-37.pdf" TargetMode="External"/><Relationship Id="rId10" Type="http://schemas.openxmlformats.org/officeDocument/2006/relationships/hyperlink" Target="http://www.chattanooga.gov/city-council-files/OrdinancesAndResolutions/Resolutions/Resolutions%202006/24923%20Auth%20Wrigley%20PILOT%20Agmt%20-%20County%20IDB.DOC" TargetMode="External"/><Relationship Id="rId31" Type="http://schemas.openxmlformats.org/officeDocument/2006/relationships/hyperlink" Target="http://resolutions.hamiltontn.gov/resolutions/2012/1212-20.pdf" TargetMode="External"/><Relationship Id="rId44" Type="http://schemas.openxmlformats.org/officeDocument/2006/relationships/hyperlink" Target="http://resolutions.hamiltontn.gov/resolutions/2015/1015-54.pdf" TargetMode="External"/><Relationship Id="rId52" Type="http://schemas.openxmlformats.org/officeDocument/2006/relationships/hyperlink" Target="http://www.chattanooga.gov/city-council-files/OrdinancesAndResolutions/Resolutions/Resolutions%202016/28835%20PILOT%20Resolution%20Jaycee%20Tower%20City.pdf" TargetMode="External"/><Relationship Id="rId60" Type="http://schemas.openxmlformats.org/officeDocument/2006/relationships/hyperlink" Target="http://resolutions.hamiltontn.gov/resolutions/2015/815-19.pdf" TargetMode="External"/><Relationship Id="rId65" Type="http://schemas.openxmlformats.org/officeDocument/2006/relationships/hyperlink" Target="http://resolutions.hamiltontn.gov/resolutions/2017/1217-30.pdf" TargetMode="External"/><Relationship Id="rId73" Type="http://schemas.openxmlformats.org/officeDocument/2006/relationships/hyperlink" Target="http://resolutions.hamiltontn.gov/resolutions/2019/319-14.pdf" TargetMode="External"/><Relationship Id="rId78" Type="http://schemas.openxmlformats.org/officeDocument/2006/relationships/hyperlink" Target="http://resolutions.hamiltontn.gov/resolutions/2020/820-26.pdf" TargetMode="External"/><Relationship Id="rId81" Type="http://schemas.openxmlformats.org/officeDocument/2006/relationships/hyperlink" Target="http://resolutions.hamiltontn.gov/resolutions/2021/321-14.pdf" TargetMode="External"/><Relationship Id="rId86" Type="http://schemas.openxmlformats.org/officeDocument/2006/relationships/hyperlink" Target="http://resolutions.hamiltontn.gov/resolutions/2020/1220-33.pdf" TargetMode="External"/><Relationship Id="rId4" Type="http://schemas.openxmlformats.org/officeDocument/2006/relationships/hyperlink" Target="http://www.chattanooga.gov/city-council-files/OrdinancesAndResolutions/Resolutions/Resolutions%202014/27892%20PILOT%20Plastic%20Omnium.pdf" TargetMode="External"/><Relationship Id="rId9" Type="http://schemas.openxmlformats.org/officeDocument/2006/relationships/hyperlink" Target="http://www.chattanooga.gov/city-council-files/OrdinancesAndResolutions/Resolutions/Resolutions%202014/27960%20Aut%20MOU%20for%20VW%20CrossBlue%20Projec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Q122"/>
  <sheetViews>
    <sheetView tabSelected="1" zoomScaleNormal="100" workbookViewId="0">
      <pane xSplit="5" ySplit="3" topLeftCell="U53" activePane="bottomRight" state="frozen"/>
      <selection activeCell="A2" sqref="A2"/>
      <selection pane="topRight" activeCell="F2" sqref="F2"/>
      <selection pane="bottomLeft" activeCell="A4" sqref="A4"/>
      <selection pane="bottomRight" activeCell="A58" sqref="A58:XFD58"/>
    </sheetView>
  </sheetViews>
  <sheetFormatPr defaultColWidth="17.28515625" defaultRowHeight="15" customHeight="1" x14ac:dyDescent="0.2"/>
  <cols>
    <col min="1" max="1" width="37.140625" style="22" customWidth="1"/>
    <col min="2" max="2" width="40.140625" style="22" bestFit="1" customWidth="1"/>
    <col min="3" max="3" width="25" style="22" hidden="1" customWidth="1"/>
    <col min="4" max="4" width="13.28515625" style="22" hidden="1" customWidth="1"/>
    <col min="5" max="5" width="26.7109375" style="19" customWidth="1"/>
    <col min="6" max="6" width="10.7109375" style="22" customWidth="1"/>
    <col min="7" max="7" width="11.140625" style="22" customWidth="1"/>
    <col min="8" max="8" width="10.42578125" style="22" customWidth="1"/>
    <col min="9" max="9" width="2.140625" style="6" customWidth="1"/>
    <col min="10" max="10" width="11.140625" style="22" customWidth="1"/>
    <col min="11" max="11" width="11" style="22" customWidth="1"/>
    <col min="12" max="12" width="10.85546875" style="22" customWidth="1"/>
    <col min="13" max="13" width="1.7109375" style="6" customWidth="1"/>
    <col min="14" max="14" width="10.7109375" style="22" customWidth="1"/>
    <col min="15" max="15" width="8.42578125" style="22" customWidth="1"/>
    <col min="16" max="16" width="13.28515625" style="22" customWidth="1"/>
    <col min="17" max="17" width="12.5703125" style="33" customWidth="1"/>
    <col min="18" max="18" width="27" style="29" customWidth="1"/>
    <col min="19" max="19" width="14.5703125" style="3" customWidth="1"/>
    <col min="20" max="20" width="21" style="3" hidden="1" customWidth="1"/>
    <col min="21" max="21" width="17.42578125" style="34" customWidth="1"/>
    <col min="22" max="22" width="1.7109375" style="6" customWidth="1"/>
    <col min="23" max="23" width="13" style="3" customWidth="1"/>
    <col min="24" max="24" width="15" style="3" customWidth="1"/>
    <col min="25" max="25" width="14.85546875" style="3" customWidth="1"/>
    <col min="26" max="26" width="14.28515625" style="3" customWidth="1"/>
    <col min="27" max="27" width="3.7109375" style="6" customWidth="1"/>
    <col min="28" max="28" width="12" style="3" customWidth="1"/>
    <col min="29" max="29" width="14.7109375" style="3" customWidth="1"/>
    <col min="30" max="30" width="14.5703125" style="3" customWidth="1"/>
    <col min="31" max="31" width="13.85546875" style="3" customWidth="1"/>
    <col min="32" max="32" width="15" style="3" customWidth="1"/>
    <col min="33" max="33" width="3.7109375" style="6" customWidth="1"/>
    <col min="34" max="34" width="11.5703125" style="3" customWidth="1"/>
    <col min="35" max="35" width="11.7109375" style="3" customWidth="1"/>
    <col min="36" max="36" width="13.7109375" style="3" customWidth="1"/>
    <col min="37" max="37" width="14" style="3" customWidth="1"/>
    <col min="38" max="38" width="13" style="3" customWidth="1"/>
    <col min="39" max="16384" width="17.28515625" style="22"/>
  </cols>
  <sheetData>
    <row r="1" spans="1:39" customFormat="1" ht="12.75" x14ac:dyDescent="0.2">
      <c r="A1" s="22"/>
      <c r="E1" s="15"/>
      <c r="I1" s="4"/>
      <c r="M1" s="4"/>
      <c r="N1" s="22"/>
      <c r="O1" s="22"/>
      <c r="Q1" s="32"/>
      <c r="R1" s="27"/>
      <c r="S1" s="1"/>
      <c r="T1" s="1"/>
      <c r="U1" s="34"/>
      <c r="V1" s="4"/>
      <c r="W1" s="2">
        <v>2.25</v>
      </c>
      <c r="X1" s="2">
        <f>1.2177+0.008</f>
        <v>1.2257</v>
      </c>
      <c r="Y1" s="2">
        <v>1.0116000000000001</v>
      </c>
      <c r="Z1" s="2"/>
      <c r="AA1" s="4"/>
      <c r="AB1" s="3"/>
      <c r="AC1" s="3"/>
      <c r="AD1" s="3"/>
      <c r="AE1" s="3"/>
      <c r="AF1" s="3"/>
      <c r="AG1" s="4"/>
      <c r="AH1" s="1"/>
      <c r="AI1" s="1"/>
      <c r="AJ1" s="1"/>
      <c r="AK1" s="1"/>
      <c r="AL1" s="1"/>
    </row>
    <row r="2" spans="1:39" customFormat="1" ht="15" customHeight="1" thickBot="1" x14ac:dyDescent="0.25">
      <c r="A2" s="22"/>
      <c r="E2" s="15"/>
      <c r="F2" s="377" t="s">
        <v>46</v>
      </c>
      <c r="G2" s="377"/>
      <c r="H2" s="377"/>
      <c r="I2" s="36"/>
      <c r="J2" s="377" t="s">
        <v>47</v>
      </c>
      <c r="K2" s="377"/>
      <c r="L2" s="377"/>
      <c r="M2" s="36"/>
      <c r="N2" s="22"/>
      <c r="O2" s="22"/>
      <c r="Q2" s="32"/>
      <c r="R2" s="27"/>
      <c r="S2" s="1"/>
      <c r="T2" s="1"/>
      <c r="U2" s="34"/>
      <c r="V2" s="5"/>
      <c r="W2" s="7" t="s">
        <v>35</v>
      </c>
      <c r="X2" s="7"/>
      <c r="Y2" s="7"/>
      <c r="Z2" s="7"/>
      <c r="AA2" s="5"/>
      <c r="AB2" s="378" t="s">
        <v>74</v>
      </c>
      <c r="AC2" s="379"/>
      <c r="AD2" s="379"/>
      <c r="AE2" s="379"/>
      <c r="AF2" s="380"/>
      <c r="AG2" s="5"/>
      <c r="AH2" s="381" t="s">
        <v>41</v>
      </c>
      <c r="AI2" s="382"/>
      <c r="AJ2" s="382"/>
      <c r="AK2" s="382"/>
      <c r="AL2" s="383"/>
    </row>
    <row r="3" spans="1:39" s="15" customFormat="1" ht="24" customHeight="1" x14ac:dyDescent="0.2">
      <c r="A3" s="16" t="s">
        <v>0</v>
      </c>
      <c r="B3" s="8" t="s">
        <v>3</v>
      </c>
      <c r="C3" s="24" t="s">
        <v>8</v>
      </c>
      <c r="D3" s="24" t="s">
        <v>9</v>
      </c>
      <c r="E3" s="8" t="s">
        <v>66</v>
      </c>
      <c r="F3" s="8" t="s">
        <v>59</v>
      </c>
      <c r="G3" s="14" t="s">
        <v>5</v>
      </c>
      <c r="H3" s="14" t="s">
        <v>79</v>
      </c>
      <c r="I3" s="12"/>
      <c r="J3" s="8" t="s">
        <v>59</v>
      </c>
      <c r="K3" s="14" t="s">
        <v>5</v>
      </c>
      <c r="L3" s="14" t="s">
        <v>79</v>
      </c>
      <c r="M3" s="12"/>
      <c r="N3" s="16" t="s">
        <v>6</v>
      </c>
      <c r="O3" s="16" t="s">
        <v>7</v>
      </c>
      <c r="P3" s="16" t="s">
        <v>1</v>
      </c>
      <c r="Q3" s="30" t="s">
        <v>2</v>
      </c>
      <c r="R3" s="16" t="s">
        <v>92</v>
      </c>
      <c r="S3" s="12" t="s">
        <v>123</v>
      </c>
      <c r="T3" s="9" t="s">
        <v>4</v>
      </c>
      <c r="U3" s="12" t="s">
        <v>34</v>
      </c>
      <c r="V3" s="12"/>
      <c r="W3" s="11" t="s">
        <v>36</v>
      </c>
      <c r="X3" s="11" t="s">
        <v>37</v>
      </c>
      <c r="Y3" s="11" t="s">
        <v>38</v>
      </c>
      <c r="Z3" s="10" t="s">
        <v>40</v>
      </c>
      <c r="AA3" s="12"/>
      <c r="AB3" s="21" t="s">
        <v>207</v>
      </c>
      <c r="AC3" s="21" t="s">
        <v>208</v>
      </c>
      <c r="AD3" s="21" t="s">
        <v>209</v>
      </c>
      <c r="AE3" s="21" t="s">
        <v>78</v>
      </c>
      <c r="AF3" s="21" t="s">
        <v>75</v>
      </c>
      <c r="AG3" s="12"/>
      <c r="AH3" s="13" t="s">
        <v>42</v>
      </c>
      <c r="AI3" s="13" t="s">
        <v>43</v>
      </c>
      <c r="AJ3" s="13" t="s">
        <v>44</v>
      </c>
      <c r="AK3" s="13" t="s">
        <v>78</v>
      </c>
      <c r="AL3" s="13" t="s">
        <v>45</v>
      </c>
    </row>
    <row r="4" spans="1:39" s="19" customFormat="1" ht="38.25" customHeight="1" x14ac:dyDescent="0.25">
      <c r="A4" s="20" t="s">
        <v>48</v>
      </c>
      <c r="B4" s="16"/>
      <c r="C4" s="16"/>
      <c r="D4" s="16"/>
      <c r="E4" s="16"/>
      <c r="F4" s="16"/>
      <c r="G4" s="17"/>
      <c r="H4" s="17"/>
      <c r="I4" s="12"/>
      <c r="J4" s="16"/>
      <c r="K4" s="17"/>
      <c r="L4" s="17"/>
      <c r="M4" s="12"/>
      <c r="N4" s="16"/>
      <c r="O4" s="16"/>
      <c r="P4" s="16"/>
      <c r="Q4" s="30"/>
      <c r="R4" s="28"/>
      <c r="S4" s="12"/>
      <c r="T4" s="12"/>
      <c r="U4" s="241"/>
      <c r="V4" s="12"/>
      <c r="W4" s="18"/>
      <c r="X4" s="18"/>
      <c r="Y4" s="18"/>
      <c r="Z4" s="12"/>
      <c r="AA4" s="12"/>
      <c r="AB4" s="18"/>
      <c r="AC4" s="18"/>
      <c r="AD4" s="18"/>
      <c r="AE4" s="235"/>
      <c r="AF4" s="12"/>
      <c r="AG4" s="12"/>
      <c r="AH4" s="35"/>
      <c r="AI4" s="12"/>
      <c r="AJ4" s="12"/>
      <c r="AK4" s="12"/>
      <c r="AL4" s="12"/>
    </row>
    <row r="5" spans="1:39" s="58" customFormat="1" ht="25.5" customHeight="1" x14ac:dyDescent="0.2">
      <c r="A5" s="40" t="s">
        <v>20</v>
      </c>
      <c r="B5" s="41" t="s">
        <v>21</v>
      </c>
      <c r="C5" s="42">
        <v>35.068630239999997</v>
      </c>
      <c r="D5" s="42">
        <v>-85.142667220000007</v>
      </c>
      <c r="E5" s="43" t="s">
        <v>67</v>
      </c>
      <c r="F5" s="42">
        <v>26502</v>
      </c>
      <c r="G5" s="44">
        <v>40512</v>
      </c>
      <c r="H5" s="45" t="s">
        <v>80</v>
      </c>
      <c r="I5" s="46"/>
      <c r="J5" s="42" t="s">
        <v>51</v>
      </c>
      <c r="K5" s="44">
        <v>40513</v>
      </c>
      <c r="L5" s="236" t="s">
        <v>80</v>
      </c>
      <c r="M5" s="46"/>
      <c r="N5" s="47">
        <v>2012</v>
      </c>
      <c r="O5" s="47">
        <v>2022</v>
      </c>
      <c r="P5" s="48">
        <v>1249</v>
      </c>
      <c r="Q5" s="49">
        <v>30500</v>
      </c>
      <c r="R5" s="50" t="s">
        <v>137</v>
      </c>
      <c r="S5" s="51">
        <v>91000000</v>
      </c>
      <c r="T5" s="51"/>
      <c r="U5" s="322">
        <v>4125514</v>
      </c>
      <c r="V5" s="46"/>
      <c r="W5" s="52">
        <f t="shared" ref="W5:X10" si="0">+$U5*W$1/100</f>
        <v>92824.065000000002</v>
      </c>
      <c r="X5" s="52">
        <f t="shared" si="0"/>
        <v>50566.425098</v>
      </c>
      <c r="Y5" s="52">
        <f>ROUND(+$U5*Y$1/100,2)</f>
        <v>41733.699999999997</v>
      </c>
      <c r="Z5" s="52">
        <f t="shared" ref="Z5:Z18" si="1">+W5+X5+Y5</f>
        <v>185124.19009799999</v>
      </c>
      <c r="AA5" s="46"/>
      <c r="AB5" s="53">
        <v>0</v>
      </c>
      <c r="AC5" s="54">
        <v>0</v>
      </c>
      <c r="AD5" s="54">
        <f>Y5</f>
        <v>41733.699999999997</v>
      </c>
      <c r="AE5" s="54"/>
      <c r="AF5" s="54">
        <f t="shared" ref="AF5:AF18" si="2">+AB5+AC5+AD5+AE5</f>
        <v>41733.699999999997</v>
      </c>
      <c r="AG5" s="262"/>
      <c r="AH5" s="55">
        <f t="shared" ref="AH5:AJ18" si="3">+W5-AB5</f>
        <v>92824.065000000002</v>
      </c>
      <c r="AI5" s="56">
        <f t="shared" si="3"/>
        <v>50566.425098</v>
      </c>
      <c r="AJ5" s="57">
        <f t="shared" si="3"/>
        <v>0</v>
      </c>
      <c r="AK5" s="56">
        <f t="shared" ref="AK5:AK18" si="4">-AE5</f>
        <v>0</v>
      </c>
      <c r="AL5" s="56">
        <f t="shared" ref="AL5:AL18" si="5">+Z5-AF5</f>
        <v>143390.49009799998</v>
      </c>
    </row>
    <row r="6" spans="1:39" s="58" customFormat="1" ht="25.5" customHeight="1" x14ac:dyDescent="0.2">
      <c r="A6" s="59" t="s">
        <v>126</v>
      </c>
      <c r="B6" s="60" t="s">
        <v>22</v>
      </c>
      <c r="C6" s="61">
        <v>35.069798300000002</v>
      </c>
      <c r="D6" s="61">
        <v>-85.135412052999996</v>
      </c>
      <c r="E6" s="62" t="s">
        <v>68</v>
      </c>
      <c r="F6" s="61">
        <v>26502</v>
      </c>
      <c r="G6" s="63">
        <v>40512</v>
      </c>
      <c r="H6" s="64" t="s">
        <v>80</v>
      </c>
      <c r="I6" s="65"/>
      <c r="J6" s="61" t="s">
        <v>51</v>
      </c>
      <c r="K6" s="63">
        <v>40513</v>
      </c>
      <c r="L6" s="154" t="s">
        <v>80</v>
      </c>
      <c r="M6" s="65"/>
      <c r="N6" s="66">
        <v>2012</v>
      </c>
      <c r="O6" s="66">
        <v>2022</v>
      </c>
      <c r="P6" s="67">
        <v>1249</v>
      </c>
      <c r="Q6" s="68">
        <v>30500</v>
      </c>
      <c r="R6" s="50" t="s">
        <v>138</v>
      </c>
      <c r="S6" s="70">
        <f>51000000+40000000</f>
        <v>91000000</v>
      </c>
      <c r="T6" s="70"/>
      <c r="U6" s="324">
        <v>27731640</v>
      </c>
      <c r="V6" s="65"/>
      <c r="W6" s="71">
        <f>+$U6*W$1/100</f>
        <v>623961.9</v>
      </c>
      <c r="X6" s="71">
        <f>+$U6*X$1/100</f>
        <v>339906.71148</v>
      </c>
      <c r="Y6" s="71">
        <f>+$U6*Y$1/100</f>
        <v>280533.27023999998</v>
      </c>
      <c r="Z6" s="71">
        <f>+W6+X6+Y6</f>
        <v>1244401.8817199999</v>
      </c>
      <c r="AA6" s="65"/>
      <c r="AB6" s="72">
        <v>0</v>
      </c>
      <c r="AC6" s="73">
        <v>0</v>
      </c>
      <c r="AD6" s="73">
        <f>Y6</f>
        <v>280533.27023999998</v>
      </c>
      <c r="AE6" s="73"/>
      <c r="AF6" s="73">
        <f>+AB6+AC6+AD6+AE6</f>
        <v>280533.27023999998</v>
      </c>
      <c r="AG6" s="257"/>
      <c r="AH6" s="74">
        <f>+W6-AB6</f>
        <v>623961.9</v>
      </c>
      <c r="AI6" s="75">
        <f>+X6-AC6</f>
        <v>339906.71148</v>
      </c>
      <c r="AJ6" s="75">
        <f>+Y6-AD6</f>
        <v>0</v>
      </c>
      <c r="AK6" s="75">
        <f>-AE6</f>
        <v>0</v>
      </c>
      <c r="AL6" s="75">
        <f>+Z6-AF6</f>
        <v>963868.61147999996</v>
      </c>
    </row>
    <row r="7" spans="1:39" s="58" customFormat="1" ht="25.5" customHeight="1" x14ac:dyDescent="0.2">
      <c r="A7" s="79" t="s">
        <v>127</v>
      </c>
      <c r="B7" s="80" t="s">
        <v>128</v>
      </c>
      <c r="C7" s="81">
        <v>35.052216000000001</v>
      </c>
      <c r="D7" s="81">
        <v>-85.317967999999993</v>
      </c>
      <c r="E7" s="82" t="s">
        <v>129</v>
      </c>
      <c r="F7" s="81">
        <v>24361</v>
      </c>
      <c r="G7" s="83">
        <v>38433</v>
      </c>
      <c r="H7" s="84" t="s">
        <v>80</v>
      </c>
      <c r="I7" s="85"/>
      <c r="J7" s="86" t="s">
        <v>130</v>
      </c>
      <c r="K7" s="87">
        <v>38434</v>
      </c>
      <c r="L7" s="88" t="s">
        <v>80</v>
      </c>
      <c r="M7" s="85"/>
      <c r="N7" s="89">
        <v>2010</v>
      </c>
      <c r="O7" s="89">
        <v>2025</v>
      </c>
      <c r="P7" s="90"/>
      <c r="Q7" s="91"/>
      <c r="R7" s="92" t="s">
        <v>10</v>
      </c>
      <c r="S7" s="93"/>
      <c r="T7" s="93"/>
      <c r="U7" s="293">
        <f>38892440+54161160+429960+12866641</f>
        <v>106350201</v>
      </c>
      <c r="V7" s="85"/>
      <c r="W7" s="94">
        <f t="shared" ref="W7:Y7" si="6">+$U7*W$1/100</f>
        <v>2392879.5225</v>
      </c>
      <c r="X7" s="94">
        <f t="shared" si="6"/>
        <v>1303534.4136570001</v>
      </c>
      <c r="Y7" s="94">
        <f t="shared" si="6"/>
        <v>1075838.633316</v>
      </c>
      <c r="Z7" s="94">
        <f t="shared" ref="Z7" si="7">+W7+X7+Y7</f>
        <v>4772252.5694730002</v>
      </c>
      <c r="AA7" s="85"/>
      <c r="AB7" s="95">
        <f t="shared" ref="AB7:AD7" si="8">W7/2</f>
        <v>1196439.76125</v>
      </c>
      <c r="AC7" s="95">
        <f t="shared" si="8"/>
        <v>651767.20682850003</v>
      </c>
      <c r="AD7" s="95">
        <f t="shared" si="8"/>
        <v>537919.316658</v>
      </c>
      <c r="AE7" s="96"/>
      <c r="AF7" s="96">
        <f t="shared" ref="AF7" si="9">+AB7+AC7+AD7+AE7</f>
        <v>2386126.2847365001</v>
      </c>
      <c r="AG7" s="85"/>
      <c r="AH7" s="97">
        <f t="shared" ref="AH7:AJ7" si="10">+W7-AB7</f>
        <v>1196439.76125</v>
      </c>
      <c r="AI7" s="97">
        <f t="shared" si="10"/>
        <v>651767.20682850003</v>
      </c>
      <c r="AJ7" s="97">
        <f t="shared" si="10"/>
        <v>537919.316658</v>
      </c>
      <c r="AK7" s="97">
        <f t="shared" ref="AK7" si="11">-AE7</f>
        <v>0</v>
      </c>
      <c r="AL7" s="97">
        <f t="shared" ref="AL7" si="12">+Z7-AF7</f>
        <v>2386126.2847365001</v>
      </c>
    </row>
    <row r="8" spans="1:39" s="58" customFormat="1" ht="25.5" customHeight="1" x14ac:dyDescent="0.2">
      <c r="A8" s="59" t="s">
        <v>82</v>
      </c>
      <c r="B8" s="60" t="s">
        <v>11</v>
      </c>
      <c r="C8" s="61">
        <v>35.047637000000002</v>
      </c>
      <c r="D8" s="61">
        <v>-85.186363</v>
      </c>
      <c r="E8" s="62" t="s">
        <v>114</v>
      </c>
      <c r="F8" s="61">
        <v>27804</v>
      </c>
      <c r="G8" s="63">
        <v>41709</v>
      </c>
      <c r="H8" s="64" t="s">
        <v>80</v>
      </c>
      <c r="I8" s="65"/>
      <c r="J8" s="66" t="s">
        <v>73</v>
      </c>
      <c r="K8" s="101">
        <v>41717</v>
      </c>
      <c r="L8" s="154" t="s">
        <v>80</v>
      </c>
      <c r="M8" s="65"/>
      <c r="N8" s="66">
        <v>2016</v>
      </c>
      <c r="O8" s="66">
        <v>2027</v>
      </c>
      <c r="P8" s="76">
        <f>43+270</f>
        <v>313</v>
      </c>
      <c r="Q8" s="68">
        <v>45000</v>
      </c>
      <c r="R8" s="69" t="s">
        <v>175</v>
      </c>
      <c r="S8" s="70">
        <v>62000000</v>
      </c>
      <c r="T8" s="70"/>
      <c r="U8" s="324">
        <f>18862280+2198491</f>
        <v>21060771</v>
      </c>
      <c r="V8" s="65"/>
      <c r="W8" s="71">
        <f>+$U8*W$1/100</f>
        <v>473867.34749999997</v>
      </c>
      <c r="X8" s="71">
        <f t="shared" si="0"/>
        <v>258141.87014699998</v>
      </c>
      <c r="Y8" s="71">
        <f>+$U8*Y$1/100</f>
        <v>213050.75943600002</v>
      </c>
      <c r="Z8" s="71">
        <f t="shared" si="1"/>
        <v>945059.97708300001</v>
      </c>
      <c r="AA8" s="65"/>
      <c r="AB8" s="73">
        <f>W8*0.35</f>
        <v>165853.57162499998</v>
      </c>
      <c r="AC8" s="73">
        <f>X8*0.35</f>
        <v>90349.654551449989</v>
      </c>
      <c r="AD8" s="73">
        <f>Y8</f>
        <v>213050.75943600002</v>
      </c>
      <c r="AE8" s="73">
        <f>SUM(W8:X8)*0.05</f>
        <v>36600.460882350002</v>
      </c>
      <c r="AF8" s="73">
        <f t="shared" si="2"/>
        <v>505854.44649479998</v>
      </c>
      <c r="AG8" s="257"/>
      <c r="AH8" s="74">
        <f t="shared" si="3"/>
        <v>308013.77587499999</v>
      </c>
      <c r="AI8" s="75">
        <f t="shared" si="3"/>
        <v>167792.21559554999</v>
      </c>
      <c r="AJ8" s="75">
        <f t="shared" si="3"/>
        <v>0</v>
      </c>
      <c r="AK8" s="75">
        <f t="shared" si="4"/>
        <v>-36600.460882350002</v>
      </c>
      <c r="AL8" s="75">
        <f t="shared" si="5"/>
        <v>439205.53058820002</v>
      </c>
    </row>
    <row r="9" spans="1:39" s="58" customFormat="1" ht="25.5" customHeight="1" x14ac:dyDescent="0.2">
      <c r="A9" s="243" t="s">
        <v>86</v>
      </c>
      <c r="B9" s="141"/>
      <c r="C9" s="244"/>
      <c r="D9" s="244"/>
      <c r="E9" s="146" t="s">
        <v>169</v>
      </c>
      <c r="F9" s="61">
        <v>28302</v>
      </c>
      <c r="G9" s="63">
        <v>42185</v>
      </c>
      <c r="H9" s="103" t="s">
        <v>80</v>
      </c>
      <c r="I9" s="65"/>
      <c r="J9" s="62" t="s">
        <v>97</v>
      </c>
      <c r="K9" s="104">
        <v>42186</v>
      </c>
      <c r="L9" s="152" t="s">
        <v>80</v>
      </c>
      <c r="M9" s="65"/>
      <c r="N9" s="66">
        <v>2017</v>
      </c>
      <c r="O9" s="66">
        <v>2026</v>
      </c>
      <c r="P9" s="98">
        <v>136</v>
      </c>
      <c r="Q9" s="68"/>
      <c r="R9" s="69"/>
      <c r="S9" s="70">
        <v>39100000</v>
      </c>
      <c r="T9" s="70"/>
      <c r="U9" s="324">
        <f>18235720+5130713</f>
        <v>23366433</v>
      </c>
      <c r="V9" s="65"/>
      <c r="W9" s="245">
        <f>+$U9*W$1/100</f>
        <v>525744.74250000005</v>
      </c>
      <c r="X9" s="245">
        <f t="shared" si="0"/>
        <v>286402.36928099999</v>
      </c>
      <c r="Y9" s="245">
        <f>+$U9*Y$1/100</f>
        <v>236374.836228</v>
      </c>
      <c r="Z9" s="245">
        <f t="shared" ref="Z9" si="13">+W9+X9+Y9</f>
        <v>1048521.948009</v>
      </c>
      <c r="AA9" s="65"/>
      <c r="AB9" s="280">
        <f>W9*0.4</f>
        <v>210297.89700000003</v>
      </c>
      <c r="AC9" s="105">
        <f>X9*0.5</f>
        <v>143201.1846405</v>
      </c>
      <c r="AD9" s="73">
        <f>Y9</f>
        <v>236374.836228</v>
      </c>
      <c r="AE9" s="259">
        <f>SUM(X9:Y9)*0.1253+SUM(W9*0.15)</f>
        <v>144365.69522527768</v>
      </c>
      <c r="AF9" s="73">
        <f>SUM(AB9:AE9)</f>
        <v>734239.61309377768</v>
      </c>
      <c r="AG9" s="257"/>
      <c r="AH9" s="260">
        <f t="shared" ref="AH9:AH10" si="14">+W9-AB9</f>
        <v>315446.84550000005</v>
      </c>
      <c r="AI9" s="258">
        <f t="shared" ref="AI9:AI10" si="15">+X9-AC9</f>
        <v>143201.1846405</v>
      </c>
      <c r="AJ9" s="258">
        <f t="shared" ref="AJ9:AJ10" si="16">+Y9-AD9</f>
        <v>0</v>
      </c>
      <c r="AK9" s="258">
        <f t="shared" ref="AK9:AK10" si="17">-AE9</f>
        <v>-144365.69522527768</v>
      </c>
      <c r="AL9" s="75">
        <f t="shared" si="5"/>
        <v>314282.33491522237</v>
      </c>
      <c r="AM9" s="106"/>
    </row>
    <row r="10" spans="1:39" s="58" customFormat="1" ht="25.5" customHeight="1" x14ac:dyDescent="0.2">
      <c r="A10" s="292" t="s">
        <v>131</v>
      </c>
      <c r="B10" s="141"/>
      <c r="C10" s="290"/>
      <c r="D10" s="290"/>
      <c r="E10" s="146" t="s">
        <v>185</v>
      </c>
      <c r="F10" s="61">
        <v>29035</v>
      </c>
      <c r="G10" s="63">
        <v>42871</v>
      </c>
      <c r="H10" s="103" t="s">
        <v>80</v>
      </c>
      <c r="I10" s="65"/>
      <c r="J10" s="62" t="s">
        <v>132</v>
      </c>
      <c r="K10" s="104">
        <v>42872</v>
      </c>
      <c r="L10" s="152" t="s">
        <v>80</v>
      </c>
      <c r="M10" s="65"/>
      <c r="N10" s="66">
        <v>2019</v>
      </c>
      <c r="O10" s="66">
        <v>2023</v>
      </c>
      <c r="P10" s="98">
        <v>192</v>
      </c>
      <c r="Q10" s="68">
        <v>39250</v>
      </c>
      <c r="R10" s="69"/>
      <c r="S10" s="70">
        <v>5700000</v>
      </c>
      <c r="T10" s="70"/>
      <c r="U10" s="324">
        <f>2208560+362935</f>
        <v>2571495</v>
      </c>
      <c r="V10" s="65"/>
      <c r="W10" s="286">
        <f>+$U10*W$1/100</f>
        <v>57858.637499999997</v>
      </c>
      <c r="X10" s="286">
        <f t="shared" si="0"/>
        <v>31518.814215000002</v>
      </c>
      <c r="Y10" s="286">
        <f>+$U10*Y$1/100</f>
        <v>26013.243420000003</v>
      </c>
      <c r="Z10" s="286">
        <f t="shared" ref="Z10" si="18">+W10+X10+Y10</f>
        <v>115390.695135</v>
      </c>
      <c r="AA10" s="65"/>
      <c r="AB10" s="72">
        <f>W10*0.25</f>
        <v>14464.659374999999</v>
      </c>
      <c r="AC10" s="105">
        <f>X10*0.4</f>
        <v>12607.525686000001</v>
      </c>
      <c r="AD10" s="73">
        <f>Y10</f>
        <v>26013.243420000003</v>
      </c>
      <c r="AE10" s="288">
        <f>SUM(X10:Y10)*0.1253+SUM(W10*0.15)</f>
        <v>15887.562446665499</v>
      </c>
      <c r="AF10" s="288">
        <f>SUM(AB10:AE10)</f>
        <v>68972.990927665494</v>
      </c>
      <c r="AG10" s="257"/>
      <c r="AH10" s="260">
        <f t="shared" si="14"/>
        <v>43393.978124999994</v>
      </c>
      <c r="AI10" s="258">
        <f t="shared" si="15"/>
        <v>18911.288529000001</v>
      </c>
      <c r="AJ10" s="258">
        <f t="shared" si="16"/>
        <v>0</v>
      </c>
      <c r="AK10" s="258">
        <f t="shared" si="17"/>
        <v>-15887.562446665499</v>
      </c>
      <c r="AL10" s="258">
        <f t="shared" si="5"/>
        <v>46417.704207334507</v>
      </c>
      <c r="AM10" s="106"/>
    </row>
    <row r="11" spans="1:39" s="58" customFormat="1" ht="25.5" customHeight="1" x14ac:dyDescent="0.2">
      <c r="A11" s="59" t="s">
        <v>13</v>
      </c>
      <c r="B11" s="60" t="s">
        <v>14</v>
      </c>
      <c r="C11" s="61">
        <v>35.077647599999999</v>
      </c>
      <c r="D11" s="61">
        <v>-85.153917399999997</v>
      </c>
      <c r="E11" s="62" t="s">
        <v>104</v>
      </c>
      <c r="F11" s="61">
        <v>27892</v>
      </c>
      <c r="G11" s="63">
        <v>41793</v>
      </c>
      <c r="H11" s="64" t="s">
        <v>80</v>
      </c>
      <c r="I11" s="65"/>
      <c r="J11" s="61" t="s">
        <v>54</v>
      </c>
      <c r="K11" s="63">
        <v>41794</v>
      </c>
      <c r="L11" s="154" t="s">
        <v>80</v>
      </c>
      <c r="M11" s="65"/>
      <c r="N11" s="66">
        <v>2014</v>
      </c>
      <c r="O11" s="66">
        <v>2025</v>
      </c>
      <c r="P11" s="76">
        <v>250</v>
      </c>
      <c r="Q11" s="68">
        <v>44699</v>
      </c>
      <c r="R11" s="69"/>
      <c r="S11" s="70">
        <v>50000000</v>
      </c>
      <c r="T11" s="70"/>
      <c r="U11" s="324">
        <f>9245400+5954130</f>
        <v>15199530</v>
      </c>
      <c r="V11" s="65"/>
      <c r="W11" s="71">
        <f t="shared" ref="W11:Y17" si="19">+$U11*W$1/100</f>
        <v>341989.42499999999</v>
      </c>
      <c r="X11" s="71">
        <f t="shared" si="19"/>
        <v>186300.63920999999</v>
      </c>
      <c r="Y11" s="71">
        <f t="shared" si="19"/>
        <v>153758.44547999999</v>
      </c>
      <c r="Z11" s="71">
        <f t="shared" si="1"/>
        <v>682048.50968999998</v>
      </c>
      <c r="AA11" s="65"/>
      <c r="AB11" s="72">
        <f>104010.75+66983.97</f>
        <v>170994.72</v>
      </c>
      <c r="AC11" s="72">
        <f>56660.44+36489.89</f>
        <v>93150.33</v>
      </c>
      <c r="AD11" s="72">
        <f>Y11</f>
        <v>153758.44547999999</v>
      </c>
      <c r="AE11" s="259">
        <f>SUM(W11:X11)*0.15</f>
        <v>79243.509631499997</v>
      </c>
      <c r="AF11" s="73">
        <f t="shared" si="2"/>
        <v>497147.00511149998</v>
      </c>
      <c r="AG11" s="257"/>
      <c r="AH11" s="74">
        <f t="shared" si="3"/>
        <v>170994.70499999999</v>
      </c>
      <c r="AI11" s="75">
        <f t="shared" si="3"/>
        <v>93150.309209999992</v>
      </c>
      <c r="AJ11" s="75">
        <f t="shared" si="3"/>
        <v>0</v>
      </c>
      <c r="AK11" s="75">
        <f t="shared" si="4"/>
        <v>-79243.509631499997</v>
      </c>
      <c r="AL11" s="75">
        <f t="shared" si="5"/>
        <v>184901.5045785</v>
      </c>
    </row>
    <row r="12" spans="1:39" s="58" customFormat="1" ht="30" customHeight="1" x14ac:dyDescent="0.2">
      <c r="A12" s="59" t="s">
        <v>15</v>
      </c>
      <c r="B12" s="60" t="s">
        <v>16</v>
      </c>
      <c r="C12" s="61">
        <v>35.052191000000001</v>
      </c>
      <c r="D12" s="61">
        <v>85.307854000000006</v>
      </c>
      <c r="E12" s="62" t="s">
        <v>69</v>
      </c>
      <c r="F12" s="61">
        <v>25843</v>
      </c>
      <c r="G12" s="63">
        <v>39882</v>
      </c>
      <c r="H12" s="64" t="s">
        <v>80</v>
      </c>
      <c r="I12" s="65"/>
      <c r="J12" s="61" t="s">
        <v>55</v>
      </c>
      <c r="K12" s="63">
        <v>39890</v>
      </c>
      <c r="L12" s="154" t="s">
        <v>80</v>
      </c>
      <c r="M12" s="65"/>
      <c r="N12" s="66">
        <v>2011</v>
      </c>
      <c r="O12" s="66">
        <v>2025</v>
      </c>
      <c r="P12" s="76"/>
      <c r="Q12" s="68"/>
      <c r="R12" s="107"/>
      <c r="S12" s="70">
        <v>21000000</v>
      </c>
      <c r="T12" s="70"/>
      <c r="U12" s="324">
        <v>12362160</v>
      </c>
      <c r="V12" s="65"/>
      <c r="W12" s="71">
        <f t="shared" si="19"/>
        <v>278148.59999999998</v>
      </c>
      <c r="X12" s="71">
        <f t="shared" si="19"/>
        <v>151522.99512000001</v>
      </c>
      <c r="Y12" s="71">
        <f t="shared" si="19"/>
        <v>125055.61056</v>
      </c>
      <c r="Z12" s="71">
        <f t="shared" si="1"/>
        <v>554727.2056799999</v>
      </c>
      <c r="AA12" s="65"/>
      <c r="AB12" s="72">
        <f>+W12*0.3</f>
        <v>83444.579999999987</v>
      </c>
      <c r="AC12" s="73">
        <f>+X12*0.3</f>
        <v>45456.898536000001</v>
      </c>
      <c r="AD12" s="73">
        <f>+Y12*0.3</f>
        <v>37516.683167999996</v>
      </c>
      <c r="AE12" s="73"/>
      <c r="AF12" s="73">
        <f t="shared" si="2"/>
        <v>166418.16170399997</v>
      </c>
      <c r="AG12" s="257"/>
      <c r="AH12" s="74">
        <f t="shared" si="3"/>
        <v>194704.02</v>
      </c>
      <c r="AI12" s="75">
        <f t="shared" si="3"/>
        <v>106066.09658400001</v>
      </c>
      <c r="AJ12" s="75">
        <f t="shared" si="3"/>
        <v>87538.927392000012</v>
      </c>
      <c r="AK12" s="75">
        <f t="shared" si="4"/>
        <v>0</v>
      </c>
      <c r="AL12" s="75">
        <f t="shared" si="5"/>
        <v>388309.04397599993</v>
      </c>
    </row>
    <row r="13" spans="1:39" s="58" customFormat="1" ht="30" customHeight="1" x14ac:dyDescent="0.2">
      <c r="A13" s="372" t="s">
        <v>214</v>
      </c>
      <c r="B13" s="373"/>
      <c r="C13" s="343"/>
      <c r="D13" s="343"/>
      <c r="E13" s="371"/>
      <c r="F13" s="360">
        <v>30824</v>
      </c>
      <c r="G13" s="361">
        <v>44383</v>
      </c>
      <c r="H13" s="368" t="s">
        <v>80</v>
      </c>
      <c r="I13" s="366"/>
      <c r="J13" s="360" t="s">
        <v>213</v>
      </c>
      <c r="K13" s="361">
        <v>44384</v>
      </c>
      <c r="L13" s="152" t="s">
        <v>80</v>
      </c>
      <c r="M13" s="366"/>
      <c r="N13" s="363"/>
      <c r="O13" s="363"/>
      <c r="P13" s="76">
        <v>300</v>
      </c>
      <c r="Q13" s="364">
        <v>42000</v>
      </c>
      <c r="R13" s="107"/>
      <c r="S13" s="365">
        <v>150000000</v>
      </c>
      <c r="T13" s="365"/>
      <c r="U13" s="366"/>
      <c r="V13" s="366"/>
      <c r="W13" s="362"/>
      <c r="X13" s="362"/>
      <c r="Y13" s="362"/>
      <c r="Z13" s="362"/>
      <c r="AA13" s="366"/>
      <c r="AB13" s="367"/>
      <c r="AC13" s="358"/>
      <c r="AD13" s="358"/>
      <c r="AE13" s="358"/>
      <c r="AF13" s="358"/>
      <c r="AG13" s="366"/>
      <c r="AH13" s="359"/>
      <c r="AI13" s="357"/>
      <c r="AJ13" s="357"/>
      <c r="AK13" s="357"/>
      <c r="AL13" s="357"/>
    </row>
    <row r="14" spans="1:39" s="58" customFormat="1" ht="25.5" customHeight="1" x14ac:dyDescent="0.2">
      <c r="A14" s="59" t="s">
        <v>23</v>
      </c>
      <c r="B14" s="60" t="s">
        <v>24</v>
      </c>
      <c r="C14" s="61">
        <v>35.053296000000003</v>
      </c>
      <c r="D14" s="61">
        <v>-85.311479199999994</v>
      </c>
      <c r="E14" s="62" t="s">
        <v>70</v>
      </c>
      <c r="F14" s="61">
        <v>25682</v>
      </c>
      <c r="G14" s="63">
        <v>39721</v>
      </c>
      <c r="H14" s="64" t="s">
        <v>80</v>
      </c>
      <c r="I14" s="65"/>
      <c r="J14" s="61" t="s">
        <v>56</v>
      </c>
      <c r="K14" s="63">
        <v>39722</v>
      </c>
      <c r="L14" s="154" t="s">
        <v>80</v>
      </c>
      <c r="M14" s="65"/>
      <c r="N14" s="66">
        <v>2010</v>
      </c>
      <c r="O14" s="66">
        <v>2024</v>
      </c>
      <c r="P14" s="76"/>
      <c r="Q14" s="68"/>
      <c r="R14" s="69"/>
      <c r="S14" s="70">
        <v>7000000</v>
      </c>
      <c r="T14" s="70"/>
      <c r="U14" s="324">
        <v>4830480</v>
      </c>
      <c r="V14" s="65"/>
      <c r="W14" s="71">
        <f t="shared" si="19"/>
        <v>108685.8</v>
      </c>
      <c r="X14" s="71">
        <f t="shared" si="19"/>
        <v>59207.193360000005</v>
      </c>
      <c r="Y14" s="71">
        <f t="shared" si="19"/>
        <v>48865.135679999999</v>
      </c>
      <c r="Z14" s="71">
        <f t="shared" si="1"/>
        <v>216758.12904000003</v>
      </c>
      <c r="AA14" s="65"/>
      <c r="AB14" s="72">
        <v>0</v>
      </c>
      <c r="AC14" s="73">
        <v>0</v>
      </c>
      <c r="AD14" s="73">
        <f>Y14</f>
        <v>48865.135679999999</v>
      </c>
      <c r="AE14" s="73"/>
      <c r="AF14" s="73">
        <f t="shared" si="2"/>
        <v>48865.135679999999</v>
      </c>
      <c r="AG14" s="257"/>
      <c r="AH14" s="74">
        <f t="shared" si="3"/>
        <v>108685.8</v>
      </c>
      <c r="AI14" s="75">
        <f t="shared" si="3"/>
        <v>59207.193360000005</v>
      </c>
      <c r="AJ14" s="75">
        <f t="shared" si="3"/>
        <v>0</v>
      </c>
      <c r="AK14" s="75">
        <f t="shared" si="4"/>
        <v>0</v>
      </c>
      <c r="AL14" s="75">
        <f t="shared" si="5"/>
        <v>167892.99336000002</v>
      </c>
    </row>
    <row r="15" spans="1:39" s="58" customFormat="1" ht="25.5" customHeight="1" x14ac:dyDescent="0.2">
      <c r="A15" s="59" t="s">
        <v>58</v>
      </c>
      <c r="B15" s="60" t="s">
        <v>17</v>
      </c>
      <c r="C15" s="61">
        <v>35.083309</v>
      </c>
      <c r="D15" s="61">
        <v>-85.261724999999998</v>
      </c>
      <c r="E15" s="62" t="s">
        <v>107</v>
      </c>
      <c r="F15" s="61">
        <v>28072</v>
      </c>
      <c r="G15" s="63">
        <v>41975</v>
      </c>
      <c r="H15" s="64" t="s">
        <v>80</v>
      </c>
      <c r="I15" s="65"/>
      <c r="J15" s="61" t="s">
        <v>57</v>
      </c>
      <c r="K15" s="63">
        <v>41976</v>
      </c>
      <c r="L15" s="154" t="s">
        <v>80</v>
      </c>
      <c r="M15" s="65"/>
      <c r="N15" s="66">
        <v>2015</v>
      </c>
      <c r="O15" s="66">
        <v>2022</v>
      </c>
      <c r="P15" s="76">
        <v>105</v>
      </c>
      <c r="Q15" s="68">
        <v>45000</v>
      </c>
      <c r="R15" s="69"/>
      <c r="S15" s="70">
        <v>18100000</v>
      </c>
      <c r="T15" s="70"/>
      <c r="U15" s="324">
        <f>856320+4137320+672720+167760+1318081</f>
        <v>7152201</v>
      </c>
      <c r="V15" s="65"/>
      <c r="W15" s="71">
        <f t="shared" si="19"/>
        <v>160924.52249999999</v>
      </c>
      <c r="X15" s="71">
        <f t="shared" si="19"/>
        <v>87664.527656999999</v>
      </c>
      <c r="Y15" s="71">
        <f>ROUND(+$U15*Y$1/100,2)</f>
        <v>72351.67</v>
      </c>
      <c r="Z15" s="71">
        <f t="shared" si="1"/>
        <v>320940.720157</v>
      </c>
      <c r="AA15" s="65"/>
      <c r="AB15" s="277">
        <f>W15*0.5</f>
        <v>80462.261249999996</v>
      </c>
      <c r="AC15" s="73">
        <f>X15*0.5</f>
        <v>43832.263828499999</v>
      </c>
      <c r="AD15" s="73">
        <f>Y15</f>
        <v>72351.67</v>
      </c>
      <c r="AE15" s="259">
        <f>SUM(X15*0.15)+SUM(W15*0.15)</f>
        <v>37288.357523550003</v>
      </c>
      <c r="AF15" s="73">
        <f t="shared" si="2"/>
        <v>233934.55260205001</v>
      </c>
      <c r="AG15" s="257"/>
      <c r="AH15" s="74">
        <f t="shared" si="3"/>
        <v>80462.261249999996</v>
      </c>
      <c r="AI15" s="75">
        <f t="shared" si="3"/>
        <v>43832.263828499999</v>
      </c>
      <c r="AJ15" s="75">
        <f t="shared" si="3"/>
        <v>0</v>
      </c>
      <c r="AK15" s="75">
        <f t="shared" si="4"/>
        <v>-37288.357523550003</v>
      </c>
      <c r="AL15" s="75">
        <f t="shared" si="5"/>
        <v>87006.167554949992</v>
      </c>
    </row>
    <row r="16" spans="1:39" s="58" customFormat="1" ht="25.5" customHeight="1" x14ac:dyDescent="0.2">
      <c r="A16" s="372" t="s">
        <v>212</v>
      </c>
      <c r="B16" s="373"/>
      <c r="C16" s="343"/>
      <c r="D16" s="343"/>
      <c r="E16" s="371"/>
      <c r="F16" s="360">
        <v>30938</v>
      </c>
      <c r="G16" s="361">
        <v>44516</v>
      </c>
      <c r="H16" s="368" t="s">
        <v>80</v>
      </c>
      <c r="I16" s="366"/>
      <c r="J16" s="360" t="s">
        <v>211</v>
      </c>
      <c r="K16" s="361">
        <v>44517</v>
      </c>
      <c r="L16" s="152" t="s">
        <v>80</v>
      </c>
      <c r="M16" s="366"/>
      <c r="N16" s="363">
        <v>2023</v>
      </c>
      <c r="O16" s="363">
        <v>2031</v>
      </c>
      <c r="P16" s="76">
        <v>400</v>
      </c>
      <c r="Q16" s="364">
        <v>56000</v>
      </c>
      <c r="R16" s="69"/>
      <c r="S16" s="365">
        <v>11200000</v>
      </c>
      <c r="T16" s="365"/>
      <c r="U16" s="366"/>
      <c r="V16" s="366"/>
      <c r="W16" s="362"/>
      <c r="X16" s="362"/>
      <c r="Y16" s="362"/>
      <c r="Z16" s="362"/>
      <c r="AA16" s="366"/>
      <c r="AB16" s="358"/>
      <c r="AC16" s="358"/>
      <c r="AD16" s="358">
        <f>Y16</f>
        <v>0</v>
      </c>
      <c r="AE16" s="358"/>
      <c r="AF16" s="358">
        <f t="shared" si="2"/>
        <v>0</v>
      </c>
      <c r="AG16" s="366"/>
      <c r="AH16" s="359">
        <f t="shared" ref="AH16" si="20">+W16-AB16</f>
        <v>0</v>
      </c>
      <c r="AI16" s="357">
        <f t="shared" ref="AI16" si="21">+X16-AC16</f>
        <v>0</v>
      </c>
      <c r="AJ16" s="357">
        <f t="shared" ref="AJ16" si="22">+Y16-AD16</f>
        <v>0</v>
      </c>
      <c r="AK16" s="357">
        <f t="shared" ref="AK16" si="23">-AE16</f>
        <v>0</v>
      </c>
      <c r="AL16" s="357">
        <f t="shared" si="5"/>
        <v>0</v>
      </c>
    </row>
    <row r="17" spans="1:39" s="58" customFormat="1" ht="54" customHeight="1" x14ac:dyDescent="0.2">
      <c r="A17" s="59" t="s">
        <v>25</v>
      </c>
      <c r="B17" s="60" t="s">
        <v>26</v>
      </c>
      <c r="C17" s="61">
        <v>35.079189999999997</v>
      </c>
      <c r="D17" s="61">
        <v>-85.138220000000004</v>
      </c>
      <c r="E17" s="62" t="s">
        <v>71</v>
      </c>
      <c r="F17" s="61">
        <v>25738</v>
      </c>
      <c r="G17" s="63">
        <v>39777</v>
      </c>
      <c r="H17" s="64" t="s">
        <v>80</v>
      </c>
      <c r="I17" s="65"/>
      <c r="J17" s="61" t="s">
        <v>62</v>
      </c>
      <c r="K17" s="63">
        <v>39765</v>
      </c>
      <c r="L17" s="154" t="s">
        <v>80</v>
      </c>
      <c r="M17" s="65"/>
      <c r="N17" s="66">
        <v>2010</v>
      </c>
      <c r="O17" s="66">
        <v>2038</v>
      </c>
      <c r="P17" s="108">
        <v>2000</v>
      </c>
      <c r="Q17" s="68"/>
      <c r="R17" s="69" t="s">
        <v>176</v>
      </c>
      <c r="S17" s="70">
        <v>1000000000</v>
      </c>
      <c r="T17" s="70"/>
      <c r="U17" s="324">
        <f>297463088+63520+172239554+500300</f>
        <v>470266462</v>
      </c>
      <c r="V17" s="65"/>
      <c r="W17" s="71">
        <f>+$U17*W$1/100+790440.37</f>
        <v>11371435.764999999</v>
      </c>
      <c r="X17" s="71">
        <f t="shared" si="19"/>
        <v>5764056.0247339997</v>
      </c>
      <c r="Y17" s="71">
        <f t="shared" si="19"/>
        <v>4757215.5295919999</v>
      </c>
      <c r="Z17" s="71">
        <f t="shared" si="1"/>
        <v>21892707.319325998</v>
      </c>
      <c r="AA17" s="65"/>
      <c r="AB17" s="72">
        <v>867393.24</v>
      </c>
      <c r="AC17" s="73">
        <v>0</v>
      </c>
      <c r="AD17" s="73">
        <v>3889822.29</v>
      </c>
      <c r="AE17" s="73"/>
      <c r="AF17" s="73">
        <f t="shared" si="2"/>
        <v>4757215.53</v>
      </c>
      <c r="AG17" s="257"/>
      <c r="AH17" s="74">
        <f t="shared" si="3"/>
        <v>10504042.524999999</v>
      </c>
      <c r="AI17" s="75">
        <f t="shared" si="3"/>
        <v>5764056.0247339997</v>
      </c>
      <c r="AJ17" s="75">
        <f t="shared" si="3"/>
        <v>867393.23959199991</v>
      </c>
      <c r="AK17" s="75">
        <f t="shared" si="4"/>
        <v>0</v>
      </c>
      <c r="AL17" s="75">
        <f t="shared" si="5"/>
        <v>17135491.789325997</v>
      </c>
    </row>
    <row r="18" spans="1:39" s="58" customFormat="1" ht="25.5" customHeight="1" x14ac:dyDescent="0.2">
      <c r="A18" s="229" t="s">
        <v>39</v>
      </c>
      <c r="B18" s="141" t="s">
        <v>77</v>
      </c>
      <c r="C18" s="230">
        <v>35.079189999999997</v>
      </c>
      <c r="D18" s="230">
        <v>-85.138220000000004</v>
      </c>
      <c r="E18" s="146"/>
      <c r="F18" s="61">
        <v>27960</v>
      </c>
      <c r="G18" s="63">
        <v>41849</v>
      </c>
      <c r="H18" s="64" t="s">
        <v>80</v>
      </c>
      <c r="I18" s="65"/>
      <c r="J18" s="61" t="s">
        <v>65</v>
      </c>
      <c r="K18" s="63">
        <v>41843</v>
      </c>
      <c r="L18" s="154" t="s">
        <v>80</v>
      </c>
      <c r="M18" s="65"/>
      <c r="N18" s="66">
        <v>2015</v>
      </c>
      <c r="O18" s="66">
        <v>2038</v>
      </c>
      <c r="P18" s="108">
        <v>2000</v>
      </c>
      <c r="Q18" s="68"/>
      <c r="R18" s="69"/>
      <c r="S18" s="70">
        <v>900000000</v>
      </c>
      <c r="T18" s="70"/>
      <c r="U18" s="324"/>
      <c r="V18" s="65"/>
      <c r="W18" s="71">
        <v>0</v>
      </c>
      <c r="X18" s="71">
        <v>0</v>
      </c>
      <c r="Y18" s="71">
        <v>0</v>
      </c>
      <c r="Z18" s="71">
        <f t="shared" si="1"/>
        <v>0</v>
      </c>
      <c r="AA18" s="65"/>
      <c r="AB18" s="72">
        <v>0</v>
      </c>
      <c r="AC18" s="73">
        <v>0</v>
      </c>
      <c r="AD18" s="73">
        <v>0</v>
      </c>
      <c r="AE18" s="73">
        <v>250000</v>
      </c>
      <c r="AF18" s="73">
        <f t="shared" si="2"/>
        <v>250000</v>
      </c>
      <c r="AG18" s="257"/>
      <c r="AH18" s="74">
        <f t="shared" si="3"/>
        <v>0</v>
      </c>
      <c r="AI18" s="75">
        <f t="shared" si="3"/>
        <v>0</v>
      </c>
      <c r="AJ18" s="75">
        <f t="shared" si="3"/>
        <v>0</v>
      </c>
      <c r="AK18" s="75">
        <f t="shared" si="4"/>
        <v>-250000</v>
      </c>
      <c r="AL18" s="75">
        <f t="shared" si="5"/>
        <v>-250000</v>
      </c>
    </row>
    <row r="19" spans="1:39" s="58" customFormat="1" ht="25.5" x14ac:dyDescent="0.2">
      <c r="A19" s="224" t="s">
        <v>108</v>
      </c>
      <c r="B19" s="141" t="s">
        <v>142</v>
      </c>
      <c r="C19" s="223"/>
      <c r="D19" s="223"/>
      <c r="E19" s="146" t="s">
        <v>141</v>
      </c>
      <c r="F19" s="61">
        <v>28501</v>
      </c>
      <c r="G19" s="63">
        <v>42388</v>
      </c>
      <c r="H19" s="103" t="s">
        <v>80</v>
      </c>
      <c r="I19" s="65"/>
      <c r="J19" s="61" t="s">
        <v>109</v>
      </c>
      <c r="K19" s="63">
        <v>42389</v>
      </c>
      <c r="L19" s="152" t="s">
        <v>80</v>
      </c>
      <c r="M19" s="65"/>
      <c r="N19" s="66">
        <v>2017</v>
      </c>
      <c r="O19" s="66">
        <v>2030</v>
      </c>
      <c r="P19" s="98">
        <v>325</v>
      </c>
      <c r="Q19" s="68">
        <v>50000</v>
      </c>
      <c r="R19" s="69" t="s">
        <v>177</v>
      </c>
      <c r="S19" s="70">
        <v>48000000</v>
      </c>
      <c r="T19" s="70"/>
      <c r="U19" s="324">
        <v>3872546</v>
      </c>
      <c r="V19" s="65"/>
      <c r="W19" s="188">
        <f t="shared" ref="W19:Y19" si="24">+$U19*W$1/100</f>
        <v>87132.285000000003</v>
      </c>
      <c r="X19" s="188">
        <f t="shared" si="24"/>
        <v>47465.796322000002</v>
      </c>
      <c r="Y19" s="188">
        <f t="shared" si="24"/>
        <v>39174.675336</v>
      </c>
      <c r="Z19" s="188">
        <f t="shared" ref="Z19" si="25">+W19+X19+Y19</f>
        <v>173772.756658</v>
      </c>
      <c r="AA19" s="65"/>
      <c r="AB19" s="280">
        <f>W19*0.716</f>
        <v>62386.716059999999</v>
      </c>
      <c r="AC19" s="73">
        <f>X19*0.716</f>
        <v>33985.510166551998</v>
      </c>
      <c r="AD19" s="73">
        <f>Y19</f>
        <v>39174.675336</v>
      </c>
      <c r="AE19" s="279">
        <f>W19*0.15</f>
        <v>13069.84275</v>
      </c>
      <c r="AF19" s="73">
        <f>SUM(AB19:AE19)</f>
        <v>148616.74431255201</v>
      </c>
      <c r="AG19" s="257"/>
      <c r="AH19" s="190">
        <f t="shared" ref="AH19" si="26">+W19-AB19</f>
        <v>24745.568940000005</v>
      </c>
      <c r="AI19" s="189">
        <f t="shared" ref="AI19:AJ19" si="27">+X19-AC19</f>
        <v>13480.286155448004</v>
      </c>
      <c r="AJ19" s="189">
        <f t="shared" si="27"/>
        <v>0</v>
      </c>
      <c r="AK19" s="189">
        <f t="shared" ref="AK19" si="28">-AE19</f>
        <v>-13069.84275</v>
      </c>
      <c r="AL19" s="189">
        <f t="shared" ref="AL19" si="29">+Z19-AF19</f>
        <v>25156.012345447991</v>
      </c>
    </row>
    <row r="20" spans="1:39" s="118" customFormat="1" ht="38.25" customHeight="1" x14ac:dyDescent="0.25">
      <c r="A20" s="263" t="s">
        <v>50</v>
      </c>
      <c r="B20" s="110"/>
      <c r="C20" s="110"/>
      <c r="D20" s="110"/>
      <c r="E20" s="110"/>
      <c r="F20" s="110"/>
      <c r="G20" s="111"/>
      <c r="H20" s="111"/>
      <c r="I20" s="112"/>
      <c r="J20" s="110"/>
      <c r="K20" s="111"/>
      <c r="L20" s="111"/>
      <c r="M20" s="112"/>
      <c r="N20" s="110"/>
      <c r="O20" s="110"/>
      <c r="P20" s="110"/>
      <c r="Q20" s="113"/>
      <c r="R20" s="114"/>
      <c r="S20" s="112"/>
      <c r="T20" s="112"/>
      <c r="U20" s="242"/>
      <c r="V20" s="112"/>
      <c r="W20" s="115"/>
      <c r="X20" s="115"/>
      <c r="Y20" s="115"/>
      <c r="Z20" s="112"/>
      <c r="AA20" s="112"/>
      <c r="AB20" s="115"/>
      <c r="AC20" s="115"/>
      <c r="AD20" s="303"/>
      <c r="AE20" s="116"/>
      <c r="AF20" s="112"/>
      <c r="AG20" s="112"/>
      <c r="AH20" s="112"/>
      <c r="AI20" s="112"/>
      <c r="AJ20" s="112"/>
      <c r="AK20" s="112"/>
      <c r="AL20" s="112"/>
      <c r="AM20" s="117"/>
    </row>
    <row r="21" spans="1:39" s="58" customFormat="1" ht="25.5" customHeight="1" x14ac:dyDescent="0.2">
      <c r="A21" s="411" t="s">
        <v>88</v>
      </c>
      <c r="B21" s="403" t="s">
        <v>12</v>
      </c>
      <c r="C21" s="61">
        <v>35.074481900000002</v>
      </c>
      <c r="D21" s="61">
        <v>-85.156702999999993</v>
      </c>
      <c r="E21" s="404" t="s">
        <v>160</v>
      </c>
      <c r="F21" s="405">
        <v>26356</v>
      </c>
      <c r="G21" s="407">
        <v>40365</v>
      </c>
      <c r="H21" s="409" t="s">
        <v>80</v>
      </c>
      <c r="I21" s="123"/>
      <c r="J21" s="124" t="s">
        <v>99</v>
      </c>
      <c r="K21" s="125">
        <v>40129</v>
      </c>
      <c r="L21" s="237" t="s">
        <v>80</v>
      </c>
      <c r="M21" s="123"/>
      <c r="N21" s="412">
        <v>2011</v>
      </c>
      <c r="O21" s="412">
        <v>2024</v>
      </c>
      <c r="P21" s="414">
        <v>230</v>
      </c>
      <c r="Q21" s="416">
        <v>38247</v>
      </c>
      <c r="R21" s="127"/>
      <c r="S21" s="418">
        <v>90300000</v>
      </c>
      <c r="T21" s="70"/>
      <c r="U21" s="420">
        <f>32218400+3162561</f>
        <v>35380961</v>
      </c>
      <c r="V21" s="123"/>
      <c r="W21" s="422">
        <f t="shared" ref="W21:Y30" si="30">+$U21*W$1/100</f>
        <v>796071.62250000006</v>
      </c>
      <c r="X21" s="422">
        <f t="shared" si="30"/>
        <v>433664.43897699995</v>
      </c>
      <c r="Y21" s="422">
        <f t="shared" si="30"/>
        <v>357913.80147600005</v>
      </c>
      <c r="Z21" s="422">
        <f t="shared" ref="Z21:Z30" si="31">+W21+X21+Y21</f>
        <v>1587649.862953</v>
      </c>
      <c r="AA21" s="123"/>
      <c r="AB21" s="424">
        <f>393605.51+38636.35</f>
        <v>432241.86</v>
      </c>
      <c r="AC21" s="397">
        <f>214418.79+21047.36</f>
        <v>235466.15000000002</v>
      </c>
      <c r="AD21" s="399">
        <f>Y21</f>
        <v>357913.80147600005</v>
      </c>
      <c r="AE21" s="399"/>
      <c r="AF21" s="399">
        <f t="shared" ref="AF21:AF26" si="32">+AB21+AC21+AD21+AE21</f>
        <v>1025621.8114760001</v>
      </c>
      <c r="AG21" s="261"/>
      <c r="AH21" s="401">
        <f t="shared" ref="AH21:AJ21" si="33">+W21-AB21</f>
        <v>363829.76250000007</v>
      </c>
      <c r="AI21" s="437">
        <f t="shared" si="33"/>
        <v>198198.28897699993</v>
      </c>
      <c r="AJ21" s="437">
        <f t="shared" si="33"/>
        <v>0</v>
      </c>
      <c r="AK21" s="437">
        <f t="shared" ref="AK21" si="34">-AE21</f>
        <v>0</v>
      </c>
      <c r="AL21" s="437">
        <f t="shared" ref="AL21" si="35">+Z21-AF21</f>
        <v>562028.05147699988</v>
      </c>
      <c r="AM21" s="106"/>
    </row>
    <row r="22" spans="1:39" s="58" customFormat="1" ht="25.5" customHeight="1" x14ac:dyDescent="0.2">
      <c r="A22" s="411"/>
      <c r="B22" s="403"/>
      <c r="C22" s="61"/>
      <c r="D22" s="61"/>
      <c r="E22" s="404"/>
      <c r="F22" s="406"/>
      <c r="G22" s="408"/>
      <c r="H22" s="410"/>
      <c r="I22" s="85"/>
      <c r="J22" s="82" t="s">
        <v>98</v>
      </c>
      <c r="K22" s="227">
        <v>40366</v>
      </c>
      <c r="L22" s="239" t="s">
        <v>80</v>
      </c>
      <c r="M22" s="85"/>
      <c r="N22" s="413"/>
      <c r="O22" s="413"/>
      <c r="P22" s="415"/>
      <c r="Q22" s="417"/>
      <c r="R22" s="159"/>
      <c r="S22" s="419"/>
      <c r="T22" s="282"/>
      <c r="U22" s="421"/>
      <c r="V22" s="85"/>
      <c r="W22" s="423"/>
      <c r="X22" s="423"/>
      <c r="Y22" s="423"/>
      <c r="Z22" s="423"/>
      <c r="AA22" s="85"/>
      <c r="AB22" s="425"/>
      <c r="AC22" s="398"/>
      <c r="AD22" s="400"/>
      <c r="AE22" s="400"/>
      <c r="AF22" s="400"/>
      <c r="AG22" s="85"/>
      <c r="AH22" s="402"/>
      <c r="AI22" s="448"/>
      <c r="AJ22" s="448"/>
      <c r="AK22" s="448"/>
      <c r="AL22" s="448"/>
      <c r="AM22" s="106"/>
    </row>
    <row r="23" spans="1:39" s="58" customFormat="1" ht="25.5" customHeight="1" x14ac:dyDescent="0.2">
      <c r="A23" s="428" t="s">
        <v>167</v>
      </c>
      <c r="B23" s="428" t="s">
        <v>101</v>
      </c>
      <c r="C23" s="281"/>
      <c r="D23" s="281"/>
      <c r="E23" s="431" t="s">
        <v>170</v>
      </c>
      <c r="F23" s="81">
        <v>28301</v>
      </c>
      <c r="G23" s="83">
        <v>42185</v>
      </c>
      <c r="H23" s="285" t="s">
        <v>80</v>
      </c>
      <c r="I23" s="85"/>
      <c r="J23" s="82" t="s">
        <v>96</v>
      </c>
      <c r="K23" s="227">
        <v>42186</v>
      </c>
      <c r="L23" s="239" t="s">
        <v>80</v>
      </c>
      <c r="M23" s="85"/>
      <c r="N23" s="385">
        <v>2017</v>
      </c>
      <c r="O23" s="385">
        <v>2029</v>
      </c>
      <c r="P23" s="387">
        <f>374+150</f>
        <v>524</v>
      </c>
      <c r="Q23" s="389"/>
      <c r="R23" s="391" t="s">
        <v>184</v>
      </c>
      <c r="S23" s="375">
        <f>140900000+48000000</f>
        <v>188900000</v>
      </c>
      <c r="T23" s="283"/>
      <c r="U23" s="393">
        <f>5443800+5450200+9370418+13036358</f>
        <v>33300776</v>
      </c>
      <c r="V23" s="85"/>
      <c r="W23" s="395">
        <f t="shared" si="30"/>
        <v>749267.46</v>
      </c>
      <c r="X23" s="395">
        <f t="shared" si="30"/>
        <v>408167.61143200001</v>
      </c>
      <c r="Y23" s="395">
        <f t="shared" si="30"/>
        <v>336870.65001600003</v>
      </c>
      <c r="Z23" s="395">
        <f t="shared" ref="Z23" si="36">+W23+X23+Y23</f>
        <v>1494305.7214480001</v>
      </c>
      <c r="AA23" s="228"/>
      <c r="AB23" s="434">
        <f>W23*0.4</f>
        <v>299706.984</v>
      </c>
      <c r="AC23" s="443">
        <f>X23*0.5</f>
        <v>204083.805716</v>
      </c>
      <c r="AD23" s="438">
        <f>Y23</f>
        <v>336870.65001600003</v>
      </c>
      <c r="AE23" s="438">
        <f>SUM(X23:Y24)*0.1253+SUM(W23*0.15)</f>
        <v>205743.41315943439</v>
      </c>
      <c r="AF23" s="445">
        <f t="shared" si="32"/>
        <v>1046404.8528914344</v>
      </c>
      <c r="AG23" s="228"/>
      <c r="AH23" s="446">
        <f t="shared" ref="AH23" si="37">+W23-AB23</f>
        <v>449560.47599999997</v>
      </c>
      <c r="AI23" s="447">
        <f t="shared" ref="AI23" si="38">+X23-AC23</f>
        <v>204083.805716</v>
      </c>
      <c r="AJ23" s="447">
        <f t="shared" ref="AJ23" si="39">+Y23-AD23</f>
        <v>0</v>
      </c>
      <c r="AK23" s="447">
        <f t="shared" ref="AK23" si="40">-AE23</f>
        <v>-205743.41315943439</v>
      </c>
      <c r="AL23" s="447">
        <f t="shared" ref="AL23" si="41">+Z23-AF23</f>
        <v>447900.86855656561</v>
      </c>
      <c r="AM23" s="106"/>
    </row>
    <row r="24" spans="1:39" s="58" customFormat="1" ht="25.5" customHeight="1" x14ac:dyDescent="0.2">
      <c r="A24" s="429"/>
      <c r="B24" s="429"/>
      <c r="C24" s="281"/>
      <c r="D24" s="281"/>
      <c r="E24" s="432"/>
      <c r="F24" s="81">
        <v>28424</v>
      </c>
      <c r="G24" s="83">
        <v>42290</v>
      </c>
      <c r="H24" s="285" t="s">
        <v>80</v>
      </c>
      <c r="I24" s="85"/>
      <c r="J24" s="82" t="s">
        <v>100</v>
      </c>
      <c r="K24" s="227">
        <v>42283</v>
      </c>
      <c r="L24" s="239" t="s">
        <v>80</v>
      </c>
      <c r="M24" s="85"/>
      <c r="N24" s="385"/>
      <c r="O24" s="385"/>
      <c r="P24" s="387"/>
      <c r="Q24" s="389"/>
      <c r="R24" s="391"/>
      <c r="S24" s="375"/>
      <c r="T24" s="282"/>
      <c r="U24" s="393"/>
      <c r="V24" s="85"/>
      <c r="W24" s="395"/>
      <c r="X24" s="395"/>
      <c r="Y24" s="395"/>
      <c r="Z24" s="395"/>
      <c r="AA24" s="228"/>
      <c r="AB24" s="434"/>
      <c r="AC24" s="443"/>
      <c r="AD24" s="438"/>
      <c r="AE24" s="438"/>
      <c r="AF24" s="445"/>
      <c r="AG24" s="228"/>
      <c r="AH24" s="446"/>
      <c r="AI24" s="447"/>
      <c r="AJ24" s="447"/>
      <c r="AK24" s="447"/>
      <c r="AL24" s="447"/>
      <c r="AM24" s="106"/>
    </row>
    <row r="25" spans="1:39" s="58" customFormat="1" ht="25.5" customHeight="1" x14ac:dyDescent="0.2">
      <c r="A25" s="430"/>
      <c r="B25" s="430"/>
      <c r="C25" s="281"/>
      <c r="D25" s="281"/>
      <c r="E25" s="433"/>
      <c r="F25" s="42">
        <v>29847</v>
      </c>
      <c r="G25" s="44">
        <v>43543</v>
      </c>
      <c r="H25" s="135" t="s">
        <v>80</v>
      </c>
      <c r="I25" s="284"/>
      <c r="J25" s="43" t="s">
        <v>183</v>
      </c>
      <c r="K25" s="134">
        <v>43544</v>
      </c>
      <c r="L25" s="238" t="s">
        <v>80</v>
      </c>
      <c r="M25" s="284"/>
      <c r="N25" s="386"/>
      <c r="O25" s="386"/>
      <c r="P25" s="388"/>
      <c r="Q25" s="390"/>
      <c r="R25" s="392"/>
      <c r="S25" s="376"/>
      <c r="T25" s="283"/>
      <c r="U25" s="394"/>
      <c r="V25" s="284"/>
      <c r="W25" s="396"/>
      <c r="X25" s="396"/>
      <c r="Y25" s="396"/>
      <c r="Z25" s="396"/>
      <c r="AA25" s="136"/>
      <c r="AB25" s="435"/>
      <c r="AC25" s="444"/>
      <c r="AD25" s="439"/>
      <c r="AE25" s="439"/>
      <c r="AF25" s="440"/>
      <c r="AG25" s="136"/>
      <c r="AH25" s="441"/>
      <c r="AI25" s="436"/>
      <c r="AJ25" s="436"/>
      <c r="AK25" s="436"/>
      <c r="AL25" s="436"/>
      <c r="AM25" s="106"/>
    </row>
    <row r="26" spans="1:39" s="58" customFormat="1" ht="25.5" customHeight="1" x14ac:dyDescent="0.2">
      <c r="A26" s="429" t="s">
        <v>163</v>
      </c>
      <c r="B26" s="429" t="s">
        <v>164</v>
      </c>
      <c r="C26" s="291"/>
      <c r="D26" s="291"/>
      <c r="E26" s="432" t="s">
        <v>200</v>
      </c>
      <c r="F26" s="81">
        <v>29248</v>
      </c>
      <c r="G26" s="83">
        <v>43060</v>
      </c>
      <c r="H26" s="285" t="s">
        <v>80</v>
      </c>
      <c r="I26" s="85"/>
      <c r="J26" s="82" t="s">
        <v>165</v>
      </c>
      <c r="K26" s="227">
        <v>43054</v>
      </c>
      <c r="L26" s="278" t="s">
        <v>80</v>
      </c>
      <c r="M26" s="85"/>
      <c r="N26" s="385">
        <v>2019</v>
      </c>
      <c r="O26" s="385">
        <v>2025</v>
      </c>
      <c r="P26" s="426">
        <v>110</v>
      </c>
      <c r="Q26" s="389"/>
      <c r="R26" s="159"/>
      <c r="S26" s="375">
        <v>42700000</v>
      </c>
      <c r="T26" s="283"/>
      <c r="U26" s="393">
        <f>96440+21840+3153847+3591736</f>
        <v>6863863</v>
      </c>
      <c r="V26" s="85"/>
      <c r="W26" s="396">
        <f t="shared" si="30"/>
        <v>154436.91750000001</v>
      </c>
      <c r="X26" s="396">
        <f t="shared" si="30"/>
        <v>84130.368791000001</v>
      </c>
      <c r="Y26" s="396">
        <f t="shared" si="30"/>
        <v>69434.838107999996</v>
      </c>
      <c r="Z26" s="396">
        <f t="shared" ref="Z26" si="42">+W26+X26+Y26</f>
        <v>308002.12439900002</v>
      </c>
      <c r="AA26" s="228"/>
      <c r="AB26" s="435">
        <f>W26*0.25</f>
        <v>38609.229375000003</v>
      </c>
      <c r="AC26" s="443">
        <f>X26*0.4</f>
        <v>33652.1475164</v>
      </c>
      <c r="AD26" s="438">
        <f>Y26</f>
        <v>69434.838107999996</v>
      </c>
      <c r="AE26" s="438">
        <f>SUM(X26)*0.15+SUM(W26*0.15)</f>
        <v>35785.092943650001</v>
      </c>
      <c r="AF26" s="440">
        <f t="shared" si="32"/>
        <v>177481.30794304999</v>
      </c>
      <c r="AG26" s="228"/>
      <c r="AH26" s="441">
        <f t="shared" ref="AH26" si="43">+W26-AB26</f>
        <v>115827.68812500002</v>
      </c>
      <c r="AI26" s="436">
        <f t="shared" ref="AI26" si="44">+X26-AC26</f>
        <v>50478.2212746</v>
      </c>
      <c r="AJ26" s="436">
        <f t="shared" ref="AJ26" si="45">+Y26-AD26</f>
        <v>0</v>
      </c>
      <c r="AK26" s="436">
        <f t="shared" ref="AK26" si="46">-AE26</f>
        <v>-35785.092943650001</v>
      </c>
      <c r="AL26" s="436">
        <f t="shared" ref="AL26" si="47">+Z26-AF26</f>
        <v>130520.81645595003</v>
      </c>
      <c r="AM26" s="106"/>
    </row>
    <row r="27" spans="1:39" s="58" customFormat="1" ht="25.5" customHeight="1" x14ac:dyDescent="0.2">
      <c r="A27" s="430"/>
      <c r="B27" s="430"/>
      <c r="C27" s="290"/>
      <c r="D27" s="290"/>
      <c r="E27" s="433"/>
      <c r="F27" s="42"/>
      <c r="G27" s="44"/>
      <c r="H27" s="135"/>
      <c r="I27" s="135"/>
      <c r="J27" s="135"/>
      <c r="K27" s="135"/>
      <c r="L27" s="135"/>
      <c r="M27" s="135"/>
      <c r="N27" s="386"/>
      <c r="O27" s="386"/>
      <c r="P27" s="427"/>
      <c r="Q27" s="390"/>
      <c r="R27" s="135"/>
      <c r="S27" s="376"/>
      <c r="T27" s="226"/>
      <c r="U27" s="394"/>
      <c r="V27" s="85"/>
      <c r="W27" s="422"/>
      <c r="X27" s="422"/>
      <c r="Y27" s="422"/>
      <c r="Z27" s="422"/>
      <c r="AA27" s="228"/>
      <c r="AB27" s="442"/>
      <c r="AC27" s="444"/>
      <c r="AD27" s="439"/>
      <c r="AE27" s="439">
        <f t="shared" ref="AE27" si="48">SUM(X27*0.15)+SUM(W27*0.15)</f>
        <v>0</v>
      </c>
      <c r="AF27" s="399"/>
      <c r="AG27" s="228"/>
      <c r="AH27" s="401"/>
      <c r="AI27" s="437"/>
      <c r="AJ27" s="437"/>
      <c r="AK27" s="437"/>
      <c r="AL27" s="437"/>
      <c r="AM27" s="106"/>
    </row>
    <row r="28" spans="1:39" s="58" customFormat="1" ht="25.5" customHeight="1" x14ac:dyDescent="0.2">
      <c r="A28" s="342" t="s">
        <v>201</v>
      </c>
      <c r="B28" s="342"/>
      <c r="C28" s="343"/>
      <c r="D28" s="343"/>
      <c r="E28" s="344"/>
      <c r="F28" s="42"/>
      <c r="G28" s="44"/>
      <c r="H28" s="135"/>
      <c r="I28" s="332"/>
      <c r="J28" s="82" t="s">
        <v>202</v>
      </c>
      <c r="K28" s="227">
        <v>44062</v>
      </c>
      <c r="L28" s="239" t="s">
        <v>80</v>
      </c>
      <c r="M28" s="332"/>
      <c r="N28" s="336"/>
      <c r="O28" s="336"/>
      <c r="P28" s="341">
        <v>125</v>
      </c>
      <c r="Q28" s="337">
        <v>48000</v>
      </c>
      <c r="R28" s="338"/>
      <c r="S28" s="339">
        <v>75000000</v>
      </c>
      <c r="T28" s="327"/>
      <c r="U28" s="333"/>
      <c r="V28" s="332"/>
      <c r="W28" s="328"/>
      <c r="X28" s="328"/>
      <c r="Y28" s="328"/>
      <c r="Z28" s="328"/>
      <c r="AA28" s="228"/>
      <c r="AB28" s="340"/>
      <c r="AC28" s="334"/>
      <c r="AD28" s="335"/>
      <c r="AE28" s="335"/>
      <c r="AF28" s="329"/>
      <c r="AG28" s="228"/>
      <c r="AH28" s="331"/>
      <c r="AI28" s="330"/>
      <c r="AJ28" s="330"/>
      <c r="AK28" s="330"/>
      <c r="AL28" s="330"/>
      <c r="AM28" s="106"/>
    </row>
    <row r="29" spans="1:39" s="58" customFormat="1" ht="25.5" customHeight="1" x14ac:dyDescent="0.2">
      <c r="A29" s="59" t="s">
        <v>18</v>
      </c>
      <c r="B29" s="60" t="s">
        <v>19</v>
      </c>
      <c r="C29" s="61">
        <v>35.057448999999998</v>
      </c>
      <c r="D29" s="61">
        <v>-85.196417699999998</v>
      </c>
      <c r="E29" s="62" t="s">
        <v>191</v>
      </c>
      <c r="F29" s="61">
        <v>24923</v>
      </c>
      <c r="G29" s="63">
        <v>39014</v>
      </c>
      <c r="H29" s="64" t="s">
        <v>80</v>
      </c>
      <c r="I29" s="65"/>
      <c r="J29" s="61" t="s">
        <v>64</v>
      </c>
      <c r="K29" s="63">
        <v>39008</v>
      </c>
      <c r="L29" s="154" t="s">
        <v>80</v>
      </c>
      <c r="M29" s="65"/>
      <c r="N29" s="66">
        <v>2007</v>
      </c>
      <c r="O29" s="66">
        <v>2018</v>
      </c>
      <c r="P29" s="98">
        <v>150</v>
      </c>
      <c r="Q29" s="68">
        <v>49000</v>
      </c>
      <c r="R29" s="69"/>
      <c r="S29" s="70">
        <f>18000000+5000000</f>
        <v>23000000</v>
      </c>
      <c r="T29" s="70"/>
      <c r="U29" s="324">
        <v>1163150</v>
      </c>
      <c r="V29" s="65"/>
      <c r="W29" s="71">
        <f t="shared" si="30"/>
        <v>26170.875</v>
      </c>
      <c r="X29" s="71">
        <f t="shared" si="30"/>
        <v>14256.72955</v>
      </c>
      <c r="Y29" s="71">
        <f t="shared" si="30"/>
        <v>11766.4254</v>
      </c>
      <c r="Z29" s="71">
        <f t="shared" si="31"/>
        <v>52194.029950000004</v>
      </c>
      <c r="AA29" s="65"/>
      <c r="AB29" s="78">
        <f>W29</f>
        <v>26170.875</v>
      </c>
      <c r="AC29" s="77">
        <f>X29</f>
        <v>14256.72955</v>
      </c>
      <c r="AD29" s="77">
        <f>Y29</f>
        <v>11766.4254</v>
      </c>
      <c r="AE29" s="73"/>
      <c r="AF29" s="73">
        <f>+AB29+AC29+AD29+AE29</f>
        <v>52194.029950000004</v>
      </c>
      <c r="AG29" s="257"/>
      <c r="AH29" s="74">
        <f t="shared" ref="AH29:AJ30" si="49">+W29-AB29</f>
        <v>0</v>
      </c>
      <c r="AI29" s="75">
        <f t="shared" si="49"/>
        <v>0</v>
      </c>
      <c r="AJ29" s="75">
        <f t="shared" si="49"/>
        <v>0</v>
      </c>
      <c r="AK29" s="75">
        <f>-AE29</f>
        <v>0</v>
      </c>
      <c r="AL29" s="75">
        <f>+Z29-AF29</f>
        <v>0</v>
      </c>
      <c r="AM29" s="140"/>
    </row>
    <row r="30" spans="1:39" s="58" customFormat="1" ht="26.25" customHeight="1" x14ac:dyDescent="0.2">
      <c r="A30" s="59" t="s">
        <v>18</v>
      </c>
      <c r="B30" s="60" t="s">
        <v>19</v>
      </c>
      <c r="C30" s="61"/>
      <c r="D30" s="61"/>
      <c r="E30" s="62" t="s">
        <v>72</v>
      </c>
      <c r="F30" s="61">
        <v>26441</v>
      </c>
      <c r="G30" s="63">
        <v>40442</v>
      </c>
      <c r="H30" s="64" t="s">
        <v>80</v>
      </c>
      <c r="I30" s="65"/>
      <c r="J30" s="61" t="s">
        <v>63</v>
      </c>
      <c r="K30" s="63">
        <v>40457</v>
      </c>
      <c r="L30" s="154" t="s">
        <v>80</v>
      </c>
      <c r="M30" s="65"/>
      <c r="N30" s="66">
        <v>2011</v>
      </c>
      <c r="O30" s="66">
        <v>2023</v>
      </c>
      <c r="P30" s="98">
        <v>54</v>
      </c>
      <c r="Q30" s="68">
        <v>69500</v>
      </c>
      <c r="R30" s="69"/>
      <c r="S30" s="70">
        <f>18800000+4300000</f>
        <v>23100000</v>
      </c>
      <c r="T30" s="70"/>
      <c r="U30" s="324">
        <f>803370+427382</f>
        <v>1230752</v>
      </c>
      <c r="V30" s="65"/>
      <c r="W30" s="71">
        <f t="shared" si="30"/>
        <v>27691.919999999998</v>
      </c>
      <c r="X30" s="71">
        <f t="shared" si="30"/>
        <v>15085.327264</v>
      </c>
      <c r="Y30" s="71">
        <f>ROUND(+$U30*Y$1/100,2)</f>
        <v>12450.29</v>
      </c>
      <c r="Z30" s="71">
        <f t="shared" si="31"/>
        <v>55227.537263999999</v>
      </c>
      <c r="AA30" s="65"/>
      <c r="AB30" s="72">
        <v>0</v>
      </c>
      <c r="AC30" s="73">
        <v>0</v>
      </c>
      <c r="AD30" s="73">
        <f>Y30</f>
        <v>12450.29</v>
      </c>
      <c r="AE30" s="73"/>
      <c r="AF30" s="73">
        <f>+AB30+AC30+AD30+AE30</f>
        <v>12450.29</v>
      </c>
      <c r="AG30" s="257"/>
      <c r="AH30" s="74">
        <f t="shared" si="49"/>
        <v>27691.919999999998</v>
      </c>
      <c r="AI30" s="75">
        <f t="shared" si="49"/>
        <v>15085.327264</v>
      </c>
      <c r="AJ30" s="75">
        <f t="shared" si="49"/>
        <v>0</v>
      </c>
      <c r="AK30" s="75">
        <f>-AE30</f>
        <v>0</v>
      </c>
      <c r="AL30" s="75">
        <f>+Z30-AF30</f>
        <v>42777.247263999998</v>
      </c>
    </row>
    <row r="31" spans="1:39" s="58" customFormat="1" ht="26.25" customHeight="1" x14ac:dyDescent="0.2">
      <c r="A31" s="59"/>
      <c r="B31" s="60"/>
      <c r="C31" s="61"/>
      <c r="D31" s="61"/>
      <c r="E31" s="62"/>
      <c r="F31" s="61"/>
      <c r="G31" s="63"/>
      <c r="H31" s="64"/>
      <c r="I31" s="65"/>
      <c r="J31" s="61"/>
      <c r="K31" s="63"/>
      <c r="L31" s="154"/>
      <c r="M31" s="65"/>
      <c r="N31" s="66"/>
      <c r="O31" s="66"/>
      <c r="P31" s="98"/>
      <c r="Q31" s="68"/>
      <c r="R31" s="69"/>
      <c r="S31" s="70"/>
      <c r="T31" s="70"/>
      <c r="U31" s="324"/>
      <c r="V31" s="65"/>
      <c r="W31" s="71"/>
      <c r="X31" s="71"/>
      <c r="Y31" s="71"/>
      <c r="Z31" s="71"/>
      <c r="AA31" s="65"/>
      <c r="AB31" s="72"/>
      <c r="AC31" s="73"/>
      <c r="AD31" s="73"/>
      <c r="AE31" s="73"/>
      <c r="AF31" s="73"/>
      <c r="AG31" s="257"/>
      <c r="AH31" s="74"/>
      <c r="AI31" s="75"/>
      <c r="AJ31" s="75"/>
      <c r="AK31" s="75"/>
      <c r="AL31" s="75"/>
    </row>
    <row r="32" spans="1:39" s="58" customFormat="1" ht="26.25" customHeight="1" x14ac:dyDescent="0.2">
      <c r="A32" s="59" t="s">
        <v>83</v>
      </c>
      <c r="B32" s="141" t="s">
        <v>81</v>
      </c>
      <c r="C32" s="60"/>
      <c r="D32" s="60"/>
      <c r="E32" s="62" t="s">
        <v>199</v>
      </c>
      <c r="F32" s="61">
        <v>293</v>
      </c>
      <c r="G32" s="63" t="s">
        <v>76</v>
      </c>
      <c r="H32" s="64" t="s">
        <v>80</v>
      </c>
      <c r="I32" s="65"/>
      <c r="J32" s="61" t="s">
        <v>53</v>
      </c>
      <c r="K32" s="63">
        <v>38903</v>
      </c>
      <c r="L32" s="154" t="s">
        <v>80</v>
      </c>
      <c r="M32" s="65"/>
      <c r="N32" s="66">
        <v>2009</v>
      </c>
      <c r="O32" s="325">
        <v>2019</v>
      </c>
      <c r="P32" s="60">
        <v>175</v>
      </c>
      <c r="Q32" s="142">
        <v>36800</v>
      </c>
      <c r="R32" s="143"/>
      <c r="S32" s="144">
        <f>17000000+58000000</f>
        <v>75000000</v>
      </c>
      <c r="T32" s="144"/>
      <c r="U32" s="324">
        <f>9622745+3115206</f>
        <v>12737951</v>
      </c>
      <c r="V32" s="65"/>
      <c r="W32" s="71">
        <f>+$U32*1.3897/100</f>
        <v>177019.30504699997</v>
      </c>
      <c r="X32" s="71">
        <f t="shared" ref="X32:Y34" si="50">+$U32*X$1/100</f>
        <v>156129.06540699999</v>
      </c>
      <c r="Y32" s="71">
        <f t="shared" si="50"/>
        <v>128857.11231600001</v>
      </c>
      <c r="Z32" s="71">
        <f>+W32+X32+Y32</f>
        <v>462005.48277</v>
      </c>
      <c r="AA32" s="65"/>
      <c r="AB32" s="145">
        <f>W32</f>
        <v>177019.30504699997</v>
      </c>
      <c r="AC32" s="145">
        <f>X32</f>
        <v>156129.06540699999</v>
      </c>
      <c r="AD32" s="145">
        <f>Y32</f>
        <v>128857.11231600001</v>
      </c>
      <c r="AE32" s="259"/>
      <c r="AF32" s="73">
        <f>+AB32+AC32+AD32+AE32</f>
        <v>462005.48277</v>
      </c>
      <c r="AG32" s="257"/>
      <c r="AH32" s="74">
        <f t="shared" ref="AH32:AJ33" si="51">+W32-AB32</f>
        <v>0</v>
      </c>
      <c r="AI32" s="75">
        <f t="shared" si="51"/>
        <v>0</v>
      </c>
      <c r="AJ32" s="75">
        <f t="shared" si="51"/>
        <v>0</v>
      </c>
      <c r="AK32" s="75">
        <f>-AE32</f>
        <v>0</v>
      </c>
      <c r="AL32" s="75">
        <f>+Z32-AF32</f>
        <v>0</v>
      </c>
    </row>
    <row r="33" spans="1:43" s="58" customFormat="1" ht="26.25" customHeight="1" x14ac:dyDescent="0.2">
      <c r="A33" s="224" t="s">
        <v>83</v>
      </c>
      <c r="B33" s="141" t="s">
        <v>102</v>
      </c>
      <c r="C33" s="141"/>
      <c r="D33" s="141"/>
      <c r="E33" s="146" t="s">
        <v>162</v>
      </c>
      <c r="F33" s="61">
        <v>472</v>
      </c>
      <c r="G33" s="63">
        <v>42310</v>
      </c>
      <c r="H33" s="345" t="s">
        <v>80</v>
      </c>
      <c r="I33" s="65"/>
      <c r="J33" s="61" t="s">
        <v>103</v>
      </c>
      <c r="K33" s="63">
        <v>42305</v>
      </c>
      <c r="L33" s="152" t="s">
        <v>80</v>
      </c>
      <c r="M33" s="65"/>
      <c r="N33" s="66">
        <v>2017</v>
      </c>
      <c r="O33" s="66">
        <v>2026</v>
      </c>
      <c r="P33" s="137">
        <v>50</v>
      </c>
      <c r="Q33" s="142">
        <v>43843</v>
      </c>
      <c r="R33" s="143"/>
      <c r="S33" s="144">
        <v>102500000</v>
      </c>
      <c r="T33" s="144"/>
      <c r="U33" s="324">
        <f>20103737+5770560</f>
        <v>25874297</v>
      </c>
      <c r="V33" s="65"/>
      <c r="W33" s="218">
        <f>+$U33*1.3897/100</f>
        <v>359575.10540900001</v>
      </c>
      <c r="X33" s="218">
        <f t="shared" si="50"/>
        <v>317141.25832899997</v>
      </c>
      <c r="Y33" s="218">
        <f t="shared" si="50"/>
        <v>261744.38845200001</v>
      </c>
      <c r="Z33" s="218">
        <f>+W33+X33+Y33</f>
        <v>938460.75218999991</v>
      </c>
      <c r="AA33" s="65"/>
      <c r="AB33" s="145">
        <f>W33*0.5</f>
        <v>179787.55270450001</v>
      </c>
      <c r="AC33" s="145">
        <f>X33*0.5</f>
        <v>158570.62916449999</v>
      </c>
      <c r="AD33" s="145">
        <f>Y33</f>
        <v>261744.38845200001</v>
      </c>
      <c r="AE33" s="259">
        <f>SUM(W33*0.15)+SUM(X33:Y33)*0.1253</f>
        <v>126470.63735300928</v>
      </c>
      <c r="AF33" s="220">
        <f>+AB33+AC33+AD33+AE33</f>
        <v>726573.20767400926</v>
      </c>
      <c r="AG33" s="257"/>
      <c r="AH33" s="221">
        <f t="shared" si="51"/>
        <v>179787.55270450001</v>
      </c>
      <c r="AI33" s="219">
        <f t="shared" si="51"/>
        <v>158570.62916449999</v>
      </c>
      <c r="AJ33" s="219">
        <f t="shared" si="51"/>
        <v>0</v>
      </c>
      <c r="AK33" s="219">
        <f>-AE33</f>
        <v>-126470.63735300928</v>
      </c>
      <c r="AL33" s="219">
        <f>+Z33-AF33</f>
        <v>211887.54451599065</v>
      </c>
    </row>
    <row r="34" spans="1:43" s="58" customFormat="1" ht="26.25" customHeight="1" x14ac:dyDescent="0.2">
      <c r="A34" s="320" t="s">
        <v>83</v>
      </c>
      <c r="B34" s="141" t="s">
        <v>197</v>
      </c>
      <c r="C34" s="141"/>
      <c r="D34" s="141"/>
      <c r="E34" s="146" t="s">
        <v>210</v>
      </c>
      <c r="F34" s="326">
        <v>514</v>
      </c>
      <c r="G34" s="101">
        <v>43927</v>
      </c>
      <c r="H34" s="152" t="s">
        <v>80</v>
      </c>
      <c r="I34" s="317"/>
      <c r="J34" s="318" t="s">
        <v>196</v>
      </c>
      <c r="K34" s="319">
        <v>43908</v>
      </c>
      <c r="L34" s="152" t="s">
        <v>80</v>
      </c>
      <c r="M34" s="317"/>
      <c r="N34" s="316">
        <v>2020</v>
      </c>
      <c r="O34" s="316">
        <v>2034</v>
      </c>
      <c r="P34" s="137">
        <v>482</v>
      </c>
      <c r="Q34" s="142">
        <v>45000</v>
      </c>
      <c r="R34" s="143" t="s">
        <v>198</v>
      </c>
      <c r="S34" s="144">
        <v>505000000</v>
      </c>
      <c r="T34" s="144"/>
      <c r="U34" s="324">
        <f>1438141+286000</f>
        <v>1724141</v>
      </c>
      <c r="V34" s="317"/>
      <c r="W34" s="362">
        <f>+$U34*1.3897/100</f>
        <v>23960.387476999997</v>
      </c>
      <c r="X34" s="362">
        <f t="shared" si="50"/>
        <v>21132.796236999999</v>
      </c>
      <c r="Y34" s="362">
        <f t="shared" si="50"/>
        <v>17441.410356</v>
      </c>
      <c r="Z34" s="362">
        <f>+W34+X34+Y34</f>
        <v>62534.594069999999</v>
      </c>
      <c r="AA34" s="317"/>
      <c r="AB34" s="145">
        <v>0</v>
      </c>
      <c r="AC34" s="145">
        <v>0</v>
      </c>
      <c r="AD34" s="145">
        <f>Y34</f>
        <v>17441.410356</v>
      </c>
      <c r="AE34" s="315"/>
      <c r="AF34" s="358">
        <f>+AB34+AC34+AD34+AE34</f>
        <v>17441.410356</v>
      </c>
      <c r="AG34" s="317"/>
      <c r="AH34" s="359">
        <f t="shared" ref="AH34" si="52">+W34-AB34</f>
        <v>23960.387476999997</v>
      </c>
      <c r="AI34" s="357">
        <f t="shared" ref="AI34" si="53">+X34-AC34</f>
        <v>21132.796236999999</v>
      </c>
      <c r="AJ34" s="357">
        <f t="shared" ref="AJ34" si="54">+Y34-AD34</f>
        <v>0</v>
      </c>
      <c r="AK34" s="357">
        <f>-AE34</f>
        <v>0</v>
      </c>
      <c r="AL34" s="357">
        <f>+Z34-AF34</f>
        <v>45093.183713999999</v>
      </c>
    </row>
    <row r="35" spans="1:43" s="19" customFormat="1" ht="38.25" customHeight="1" x14ac:dyDescent="0.25">
      <c r="A35" s="263" t="s">
        <v>49</v>
      </c>
      <c r="B35" s="264"/>
      <c r="C35" s="264"/>
      <c r="D35" s="264"/>
      <c r="E35" s="264"/>
      <c r="F35" s="265"/>
      <c r="G35" s="266"/>
      <c r="H35" s="266"/>
      <c r="I35" s="267"/>
      <c r="J35" s="264"/>
      <c r="K35" s="268"/>
      <c r="L35" s="269"/>
      <c r="M35" s="267"/>
      <c r="N35" s="264"/>
      <c r="O35" s="264"/>
      <c r="P35" s="264"/>
      <c r="Q35" s="270"/>
      <c r="R35" s="271"/>
      <c r="S35" s="267"/>
      <c r="T35" s="267"/>
      <c r="U35" s="272"/>
      <c r="V35" s="267"/>
      <c r="W35" s="273"/>
      <c r="X35" s="273"/>
      <c r="Y35" s="273"/>
      <c r="Z35" s="267"/>
      <c r="AA35" s="267"/>
      <c r="AB35" s="273"/>
      <c r="AC35" s="273"/>
      <c r="AD35" s="267"/>
      <c r="AE35" s="274"/>
      <c r="AF35" s="267"/>
      <c r="AG35" s="267"/>
      <c r="AH35" s="267"/>
      <c r="AI35" s="267"/>
      <c r="AJ35" s="267"/>
      <c r="AK35" s="267"/>
      <c r="AL35" s="267"/>
    </row>
    <row r="36" spans="1:43" s="150" customFormat="1" ht="37.15" customHeight="1" x14ac:dyDescent="0.2">
      <c r="A36" s="184" t="s">
        <v>192</v>
      </c>
      <c r="B36" s="146"/>
      <c r="C36" s="146"/>
      <c r="D36" s="146"/>
      <c r="E36" s="146" t="s">
        <v>139</v>
      </c>
      <c r="F36" s="61">
        <v>28256</v>
      </c>
      <c r="G36" s="63">
        <v>42164</v>
      </c>
      <c r="H36" s="103" t="s">
        <v>80</v>
      </c>
      <c r="I36" s="99"/>
      <c r="J36" s="146" t="s">
        <v>87</v>
      </c>
      <c r="K36" s="147">
        <v>42186</v>
      </c>
      <c r="L36" s="152" t="s">
        <v>80</v>
      </c>
      <c r="M36" s="99"/>
      <c r="N36" s="146">
        <v>2017</v>
      </c>
      <c r="O36" s="146">
        <v>2030</v>
      </c>
      <c r="P36" s="146"/>
      <c r="Q36" s="68"/>
      <c r="R36" s="148" t="s">
        <v>93</v>
      </c>
      <c r="S36" s="99"/>
      <c r="T36" s="99"/>
      <c r="U36" s="99">
        <f>11751960+70882</f>
        <v>11822842</v>
      </c>
      <c r="V36" s="99"/>
      <c r="W36" s="176">
        <f t="shared" ref="W36:Y53" si="55">+$U36*W$1/100</f>
        <v>266013.94500000001</v>
      </c>
      <c r="X36" s="176">
        <f t="shared" si="55"/>
        <v>144912.574394</v>
      </c>
      <c r="Y36" s="176">
        <f t="shared" si="55"/>
        <v>119599.869672</v>
      </c>
      <c r="Z36" s="176">
        <f t="shared" ref="Z36" si="56">+W36+X36+Y36</f>
        <v>530526.389066</v>
      </c>
      <c r="AA36" s="99"/>
      <c r="AB36" s="149">
        <v>0</v>
      </c>
      <c r="AC36" s="149">
        <v>0</v>
      </c>
      <c r="AD36" s="149">
        <f>Y36</f>
        <v>119599.869672</v>
      </c>
      <c r="AE36" s="149"/>
      <c r="AF36" s="178">
        <f t="shared" ref="AF36:AF53" si="57">+AB36+AC36+AD36+AE36</f>
        <v>119599.869672</v>
      </c>
      <c r="AG36" s="99"/>
      <c r="AH36" s="179">
        <f t="shared" ref="AH36" si="58">+W36-AB36</f>
        <v>266013.94500000001</v>
      </c>
      <c r="AI36" s="177">
        <f t="shared" ref="AI36" si="59">+X36-AC36</f>
        <v>144912.574394</v>
      </c>
      <c r="AJ36" s="177">
        <f t="shared" ref="AJ36" si="60">+Y36-AD36</f>
        <v>0</v>
      </c>
      <c r="AK36" s="177">
        <f t="shared" ref="AK36" si="61">-AE36</f>
        <v>0</v>
      </c>
      <c r="AL36" s="177">
        <f t="shared" ref="AL36" si="62">+Z36-AF36</f>
        <v>410926.519394</v>
      </c>
    </row>
    <row r="37" spans="1:43" s="150" customFormat="1" ht="40.5" customHeight="1" x14ac:dyDescent="0.2">
      <c r="A37" s="217" t="s">
        <v>154</v>
      </c>
      <c r="B37" s="204" t="s">
        <v>155</v>
      </c>
      <c r="C37" s="146"/>
      <c r="D37" s="146"/>
      <c r="E37" s="146" t="s">
        <v>206</v>
      </c>
      <c r="F37" s="205">
        <v>29215</v>
      </c>
      <c r="G37" s="206">
        <v>43025</v>
      </c>
      <c r="H37" s="202" t="s">
        <v>80</v>
      </c>
      <c r="I37" s="99"/>
      <c r="J37" s="146" t="s">
        <v>153</v>
      </c>
      <c r="K37" s="147">
        <v>43089</v>
      </c>
      <c r="L37" s="152" t="s">
        <v>80</v>
      </c>
      <c r="M37" s="99"/>
      <c r="N37" s="146">
        <v>2018</v>
      </c>
      <c r="O37" s="146">
        <v>2032</v>
      </c>
      <c r="P37" s="146"/>
      <c r="Q37" s="203"/>
      <c r="R37" s="148"/>
      <c r="S37" s="99"/>
      <c r="T37" s="99"/>
      <c r="U37" s="99">
        <f>3991760+1359</f>
        <v>3993119</v>
      </c>
      <c r="V37" s="99"/>
      <c r="W37" s="231">
        <f>(1466880+3250)*W$1/100</f>
        <v>33077.925000000003</v>
      </c>
      <c r="X37" s="231">
        <f t="shared" si="55"/>
        <v>48943.659583000001</v>
      </c>
      <c r="Y37" s="231">
        <f t="shared" si="55"/>
        <v>40394.391804000006</v>
      </c>
      <c r="Z37" s="231">
        <f t="shared" ref="Z37" si="63">+W37+X37+Y37</f>
        <v>122415.976387</v>
      </c>
      <c r="AA37" s="99"/>
      <c r="AB37" s="149">
        <f>W37</f>
        <v>33077.925000000003</v>
      </c>
      <c r="AC37" s="233">
        <f>X37</f>
        <v>48943.659583000001</v>
      </c>
      <c r="AD37" s="149">
        <f>Y37</f>
        <v>40394.391804000006</v>
      </c>
      <c r="AE37" s="149"/>
      <c r="AF37" s="233">
        <f t="shared" si="57"/>
        <v>122415.976387</v>
      </c>
      <c r="AG37" s="99"/>
      <c r="AH37" s="234">
        <f t="shared" ref="AH37" si="64">+W37-AB37</f>
        <v>0</v>
      </c>
      <c r="AI37" s="232">
        <f t="shared" ref="AI37" si="65">+X37-AC37</f>
        <v>0</v>
      </c>
      <c r="AJ37" s="232">
        <f t="shared" ref="AJ37" si="66">+Y37-AD37</f>
        <v>0</v>
      </c>
      <c r="AK37" s="232">
        <f t="shared" ref="AK37" si="67">-AE37</f>
        <v>0</v>
      </c>
      <c r="AL37" s="232">
        <f t="shared" ref="AL37" si="68">+Z37-AF37</f>
        <v>0</v>
      </c>
    </row>
    <row r="38" spans="1:43" s="150" customFormat="1" ht="40.5" customHeight="1" x14ac:dyDescent="0.2">
      <c r="A38" s="369" t="s">
        <v>220</v>
      </c>
      <c r="B38" s="370" t="s">
        <v>221</v>
      </c>
      <c r="C38" s="371"/>
      <c r="D38" s="371"/>
      <c r="E38" s="371"/>
      <c r="F38" s="360">
        <v>30577</v>
      </c>
      <c r="G38" s="361">
        <v>44180</v>
      </c>
      <c r="H38" s="368" t="s">
        <v>80</v>
      </c>
      <c r="I38" s="99"/>
      <c r="J38" s="146" t="s">
        <v>222</v>
      </c>
      <c r="K38" s="147">
        <v>44181</v>
      </c>
      <c r="L38" s="152" t="s">
        <v>80</v>
      </c>
      <c r="M38" s="99"/>
      <c r="N38" s="146">
        <v>2022</v>
      </c>
      <c r="O38" s="146">
        <v>2036</v>
      </c>
      <c r="P38" s="146"/>
      <c r="Q38" s="364"/>
      <c r="R38" s="148" t="s">
        <v>223</v>
      </c>
      <c r="S38" s="99"/>
      <c r="T38" s="99"/>
      <c r="U38" s="99"/>
      <c r="V38" s="99"/>
      <c r="W38" s="362"/>
      <c r="X38" s="362"/>
      <c r="Y38" s="362"/>
      <c r="Z38" s="362"/>
      <c r="AA38" s="99"/>
      <c r="AB38" s="149"/>
      <c r="AC38" s="358"/>
      <c r="AD38" s="149"/>
      <c r="AE38" s="149"/>
      <c r="AF38" s="358"/>
      <c r="AG38" s="99"/>
      <c r="AH38" s="359"/>
      <c r="AI38" s="357"/>
      <c r="AJ38" s="357"/>
      <c r="AK38" s="357"/>
      <c r="AL38" s="357"/>
    </row>
    <row r="39" spans="1:43" s="150" customFormat="1" ht="40.5" customHeight="1" x14ac:dyDescent="0.2">
      <c r="A39" s="369" t="s">
        <v>203</v>
      </c>
      <c r="B39" s="370" t="s">
        <v>204</v>
      </c>
      <c r="C39" s="371"/>
      <c r="D39" s="371"/>
      <c r="E39" s="371"/>
      <c r="F39" s="352">
        <v>30649</v>
      </c>
      <c r="G39" s="353">
        <v>44243</v>
      </c>
      <c r="H39" s="356" t="s">
        <v>80</v>
      </c>
      <c r="I39" s="99"/>
      <c r="J39" s="146" t="s">
        <v>205</v>
      </c>
      <c r="K39" s="147">
        <v>44258</v>
      </c>
      <c r="L39" s="152" t="s">
        <v>80</v>
      </c>
      <c r="M39" s="99"/>
      <c r="N39" s="146">
        <v>2023</v>
      </c>
      <c r="O39" s="146">
        <v>2032</v>
      </c>
      <c r="P39" s="146"/>
      <c r="Q39" s="355"/>
      <c r="R39" s="148" t="s">
        <v>219</v>
      </c>
      <c r="S39" s="99"/>
      <c r="T39" s="99"/>
      <c r="U39" s="99"/>
      <c r="V39" s="99"/>
      <c r="W39" s="354"/>
      <c r="X39" s="354"/>
      <c r="Y39" s="354"/>
      <c r="Z39" s="354"/>
      <c r="AA39" s="99"/>
      <c r="AB39" s="149"/>
      <c r="AC39" s="350"/>
      <c r="AD39" s="149"/>
      <c r="AE39" s="149"/>
      <c r="AF39" s="350"/>
      <c r="AG39" s="99"/>
      <c r="AH39" s="351"/>
      <c r="AI39" s="349"/>
      <c r="AJ39" s="349"/>
      <c r="AK39" s="349"/>
      <c r="AL39" s="349"/>
    </row>
    <row r="40" spans="1:43" s="58" customFormat="1" ht="42.6" customHeight="1" x14ac:dyDescent="0.2">
      <c r="A40" s="321" t="s">
        <v>110</v>
      </c>
      <c r="B40" s="141" t="s">
        <v>111</v>
      </c>
      <c r="C40" s="323"/>
      <c r="D40" s="323"/>
      <c r="E40" s="146"/>
      <c r="F40" s="61">
        <v>28815</v>
      </c>
      <c r="G40" s="63">
        <v>42661</v>
      </c>
      <c r="H40" s="103" t="s">
        <v>80</v>
      </c>
      <c r="I40" s="65"/>
      <c r="J40" s="61" t="s">
        <v>112</v>
      </c>
      <c r="K40" s="63">
        <v>42676</v>
      </c>
      <c r="L40" s="152" t="s">
        <v>80</v>
      </c>
      <c r="M40" s="65"/>
      <c r="N40" s="66">
        <v>2019</v>
      </c>
      <c r="O40" s="66">
        <v>2033</v>
      </c>
      <c r="P40" s="151"/>
      <c r="Q40" s="68"/>
      <c r="R40" s="148" t="s">
        <v>113</v>
      </c>
      <c r="S40" s="65"/>
      <c r="T40" s="70"/>
      <c r="U40" s="324">
        <f>7885840+40993</f>
        <v>7926833</v>
      </c>
      <c r="V40" s="65"/>
      <c r="W40" s="71">
        <f t="shared" si="55"/>
        <v>178353.74249999999</v>
      </c>
      <c r="X40" s="71">
        <f t="shared" si="55"/>
        <v>97159.192081000001</v>
      </c>
      <c r="Y40" s="71">
        <f t="shared" si="55"/>
        <v>80187.842628000013</v>
      </c>
      <c r="Z40" s="71">
        <f>+W40+X40+Y40</f>
        <v>355700.77720900002</v>
      </c>
      <c r="AA40" s="65"/>
      <c r="AB40" s="72">
        <v>0</v>
      </c>
      <c r="AC40" s="72">
        <v>0</v>
      </c>
      <c r="AD40" s="72">
        <f>Y40</f>
        <v>80187.842628000013</v>
      </c>
      <c r="AE40" s="73"/>
      <c r="AF40" s="73">
        <f>+AB40+AC40+AD40+AE40</f>
        <v>80187.842628000013</v>
      </c>
      <c r="AG40" s="257"/>
      <c r="AH40" s="74">
        <f t="shared" ref="AH40:AJ41" si="69">+W40-AB40</f>
        <v>178353.74249999999</v>
      </c>
      <c r="AI40" s="75">
        <f t="shared" si="69"/>
        <v>97159.192081000001</v>
      </c>
      <c r="AJ40" s="75">
        <f t="shared" si="69"/>
        <v>0</v>
      </c>
      <c r="AK40" s="75">
        <f>-AE40</f>
        <v>0</v>
      </c>
      <c r="AL40" s="75">
        <f>+Z40-AF40</f>
        <v>275512.93458100001</v>
      </c>
    </row>
    <row r="41" spans="1:43" s="58" customFormat="1" ht="48.6" customHeight="1" x14ac:dyDescent="0.2">
      <c r="A41" s="59" t="s">
        <v>91</v>
      </c>
      <c r="B41" s="60" t="s">
        <v>117</v>
      </c>
      <c r="C41" s="61"/>
      <c r="D41" s="61"/>
      <c r="E41" s="62" t="s">
        <v>161</v>
      </c>
      <c r="F41" s="61">
        <v>28233</v>
      </c>
      <c r="G41" s="63">
        <v>42129</v>
      </c>
      <c r="H41" s="103" t="s">
        <v>80</v>
      </c>
      <c r="I41" s="65"/>
      <c r="J41" s="61" t="s">
        <v>85</v>
      </c>
      <c r="K41" s="63">
        <v>42130</v>
      </c>
      <c r="L41" s="152" t="s">
        <v>80</v>
      </c>
      <c r="M41" s="65"/>
      <c r="N41" s="66">
        <v>2016</v>
      </c>
      <c r="O41" s="66">
        <v>2034</v>
      </c>
      <c r="P41" s="151"/>
      <c r="Q41" s="68"/>
      <c r="R41" s="148" t="s">
        <v>94</v>
      </c>
      <c r="S41" s="65"/>
      <c r="T41" s="70"/>
      <c r="U41" s="324">
        <f>3501440+25299</f>
        <v>3526739</v>
      </c>
      <c r="V41" s="65"/>
      <c r="W41" s="71">
        <f t="shared" si="55"/>
        <v>79351.627500000002</v>
      </c>
      <c r="X41" s="71">
        <f t="shared" si="55"/>
        <v>43227.239923000001</v>
      </c>
      <c r="Y41" s="71">
        <f t="shared" si="55"/>
        <v>35676.491724</v>
      </c>
      <c r="Z41" s="71">
        <f>+W41+X41+Y41</f>
        <v>158255.35914700001</v>
      </c>
      <c r="AA41" s="65"/>
      <c r="AB41" s="72">
        <v>0</v>
      </c>
      <c r="AC41" s="72">
        <v>0</v>
      </c>
      <c r="AD41" s="72">
        <f>Y41</f>
        <v>35676.491724</v>
      </c>
      <c r="AE41" s="73"/>
      <c r="AF41" s="73">
        <f>+AB41+AC41+AD41+AE41</f>
        <v>35676.491724</v>
      </c>
      <c r="AG41" s="257"/>
      <c r="AH41" s="74">
        <f t="shared" si="69"/>
        <v>79351.627500000002</v>
      </c>
      <c r="AI41" s="75">
        <f t="shared" si="69"/>
        <v>43227.239923000001</v>
      </c>
      <c r="AJ41" s="75">
        <f t="shared" si="69"/>
        <v>0</v>
      </c>
      <c r="AK41" s="75">
        <f>-AE41</f>
        <v>0</v>
      </c>
      <c r="AL41" s="75">
        <f>+Z41-AF41</f>
        <v>122578.86742300002</v>
      </c>
    </row>
    <row r="42" spans="1:43" s="58" customFormat="1" ht="25.5" customHeight="1" x14ac:dyDescent="0.2">
      <c r="A42" s="59" t="s">
        <v>27</v>
      </c>
      <c r="B42" s="60" t="s">
        <v>174</v>
      </c>
      <c r="C42" s="102"/>
      <c r="D42" s="102"/>
      <c r="E42" s="62" t="s">
        <v>186</v>
      </c>
      <c r="F42" s="61">
        <v>23253</v>
      </c>
      <c r="G42" s="63">
        <v>38611</v>
      </c>
      <c r="H42" s="64" t="s">
        <v>80</v>
      </c>
      <c r="I42" s="65"/>
      <c r="J42" s="61" t="s">
        <v>52</v>
      </c>
      <c r="K42" s="63">
        <v>37349</v>
      </c>
      <c r="L42" s="154" t="s">
        <v>80</v>
      </c>
      <c r="M42" s="65"/>
      <c r="N42" s="66">
        <v>2006</v>
      </c>
      <c r="O42" s="66">
        <v>2021</v>
      </c>
      <c r="P42" s="151"/>
      <c r="Q42" s="68"/>
      <c r="R42" s="69"/>
      <c r="S42" s="65"/>
      <c r="T42" s="70"/>
      <c r="U42" s="324">
        <f>1049600+300</f>
        <v>1049900</v>
      </c>
      <c r="V42" s="65"/>
      <c r="W42" s="71">
        <f t="shared" si="55"/>
        <v>23622.75</v>
      </c>
      <c r="X42" s="71">
        <f t="shared" si="55"/>
        <v>12868.624299999999</v>
      </c>
      <c r="Y42" s="71">
        <f t="shared" si="55"/>
        <v>10620.788400000001</v>
      </c>
      <c r="Z42" s="71">
        <f t="shared" ref="Z42:Z51" si="70">+W42+X42+Y42</f>
        <v>47112.162700000001</v>
      </c>
      <c r="AA42" s="65"/>
      <c r="AB42" s="72">
        <f>19298.85+5.4</f>
        <v>19304.25</v>
      </c>
      <c r="AC42" s="222">
        <f>SUM(19319.76+5.37)*X1/(X1+Y1)</f>
        <v>10587.230966343359</v>
      </c>
      <c r="AD42" s="222">
        <f>SUM(19319.76+5.37)-AC42</f>
        <v>8737.8990336566385</v>
      </c>
      <c r="AE42" s="73"/>
      <c r="AF42" s="73">
        <f t="shared" si="57"/>
        <v>38629.379999999997</v>
      </c>
      <c r="AG42" s="257"/>
      <c r="AH42" s="74">
        <f t="shared" ref="AH42:AJ51" si="71">+W42-AB42</f>
        <v>4318.5</v>
      </c>
      <c r="AI42" s="75">
        <f t="shared" si="71"/>
        <v>2281.3933336566406</v>
      </c>
      <c r="AJ42" s="75">
        <f t="shared" si="71"/>
        <v>1882.8893663433628</v>
      </c>
      <c r="AK42" s="75">
        <f t="shared" ref="AK42:AK51" si="72">-AE42</f>
        <v>0</v>
      </c>
      <c r="AL42" s="75">
        <f t="shared" ref="AL42:AL51" si="73">+Z42-AF42</f>
        <v>8482.7827000000034</v>
      </c>
    </row>
    <row r="43" spans="1:43" s="58" customFormat="1" ht="25.5" customHeight="1" x14ac:dyDescent="0.2">
      <c r="A43" s="321" t="s">
        <v>171</v>
      </c>
      <c r="B43" s="141" t="s">
        <v>173</v>
      </c>
      <c r="C43" s="323"/>
      <c r="D43" s="323"/>
      <c r="E43" s="146"/>
      <c r="F43" s="255">
        <v>29744</v>
      </c>
      <c r="G43" s="256">
        <v>43452</v>
      </c>
      <c r="H43" s="250" t="s">
        <v>80</v>
      </c>
      <c r="I43" s="254"/>
      <c r="J43" s="255" t="s">
        <v>172</v>
      </c>
      <c r="K43" s="256">
        <v>43481</v>
      </c>
      <c r="L43" s="152" t="s">
        <v>80</v>
      </c>
      <c r="M43" s="254"/>
      <c r="N43" s="251">
        <v>2020</v>
      </c>
      <c r="O43" s="251">
        <v>2044</v>
      </c>
      <c r="P43" s="151"/>
      <c r="Q43" s="252"/>
      <c r="R43" s="69"/>
      <c r="S43" s="254"/>
      <c r="T43" s="253"/>
      <c r="U43" s="324">
        <f>2385320+1173</f>
        <v>2386493</v>
      </c>
      <c r="V43" s="254"/>
      <c r="W43" s="294">
        <f t="shared" si="55"/>
        <v>53696.092499999999</v>
      </c>
      <c r="X43" s="294">
        <f t="shared" si="55"/>
        <v>29251.244701</v>
      </c>
      <c r="Y43" s="294">
        <f t="shared" si="55"/>
        <v>24141.763188000001</v>
      </c>
      <c r="Z43" s="294">
        <f t="shared" ref="Z43" si="74">+W43+X43+Y43</f>
        <v>107089.100389</v>
      </c>
      <c r="AA43" s="298"/>
      <c r="AB43" s="299">
        <v>0</v>
      </c>
      <c r="AC43" s="296">
        <v>0</v>
      </c>
      <c r="AD43" s="296">
        <f>Y43</f>
        <v>24141.763188000001</v>
      </c>
      <c r="AE43" s="296"/>
      <c r="AF43" s="296">
        <f t="shared" ref="AF43" si="75">+AB43+AC43+AD43+AE43</f>
        <v>24141.763188000001</v>
      </c>
      <c r="AG43" s="298"/>
      <c r="AH43" s="297">
        <f t="shared" ref="AH43" si="76">+W43-AB43</f>
        <v>53696.092499999999</v>
      </c>
      <c r="AI43" s="295">
        <f t="shared" ref="AI43" si="77">+X43-AC43</f>
        <v>29251.244701</v>
      </c>
      <c r="AJ43" s="295">
        <f t="shared" ref="AJ43" si="78">+Y43-AD43</f>
        <v>0</v>
      </c>
      <c r="AK43" s="295">
        <f t="shared" ref="AK43" si="79">-AE43</f>
        <v>0</v>
      </c>
      <c r="AL43" s="295">
        <f t="shared" ref="AL43" si="80">+Z43-AF43</f>
        <v>82947.337201000002</v>
      </c>
    </row>
    <row r="44" spans="1:43" s="58" customFormat="1" ht="25.5" customHeight="1" x14ac:dyDescent="0.2">
      <c r="A44" s="372" t="s">
        <v>215</v>
      </c>
      <c r="B44" s="373" t="s">
        <v>217</v>
      </c>
      <c r="C44" s="343"/>
      <c r="D44" s="343"/>
      <c r="E44" s="371"/>
      <c r="F44" s="360">
        <v>30660</v>
      </c>
      <c r="G44" s="361">
        <v>44250</v>
      </c>
      <c r="H44" s="368" t="s">
        <v>80</v>
      </c>
      <c r="I44" s="366"/>
      <c r="J44" s="360" t="s">
        <v>216</v>
      </c>
      <c r="K44" s="361">
        <v>44307</v>
      </c>
      <c r="L44" s="152" t="s">
        <v>80</v>
      </c>
      <c r="M44" s="366"/>
      <c r="N44" s="363">
        <v>2024</v>
      </c>
      <c r="O44" s="363">
        <v>2040</v>
      </c>
      <c r="P44" s="151"/>
      <c r="Q44" s="364"/>
      <c r="R44" s="69" t="s">
        <v>218</v>
      </c>
      <c r="S44" s="366"/>
      <c r="T44" s="365"/>
      <c r="U44" s="366"/>
      <c r="V44" s="366"/>
      <c r="W44" s="362"/>
      <c r="X44" s="362"/>
      <c r="Y44" s="362"/>
      <c r="Z44" s="362"/>
      <c r="AA44" s="366"/>
      <c r="AB44" s="367"/>
      <c r="AC44" s="358"/>
      <c r="AD44" s="358"/>
      <c r="AE44" s="358"/>
      <c r="AF44" s="358"/>
      <c r="AG44" s="366"/>
      <c r="AH44" s="359"/>
      <c r="AI44" s="357"/>
      <c r="AJ44" s="357"/>
      <c r="AK44" s="357"/>
      <c r="AL44" s="357"/>
    </row>
    <row r="45" spans="1:43" s="58" customFormat="1" ht="51.75" customHeight="1" x14ac:dyDescent="0.2">
      <c r="A45" s="292" t="s">
        <v>156</v>
      </c>
      <c r="B45" s="141" t="s">
        <v>158</v>
      </c>
      <c r="C45" s="290"/>
      <c r="D45" s="290"/>
      <c r="E45" s="146" t="s">
        <v>190</v>
      </c>
      <c r="F45" s="212">
        <v>29634</v>
      </c>
      <c r="G45" s="213">
        <v>43368</v>
      </c>
      <c r="H45" s="215" t="s">
        <v>80</v>
      </c>
      <c r="I45" s="210"/>
      <c r="J45" s="212" t="s">
        <v>157</v>
      </c>
      <c r="K45" s="213">
        <v>43376</v>
      </c>
      <c r="L45" s="152" t="s">
        <v>80</v>
      </c>
      <c r="M45" s="210"/>
      <c r="N45" s="207">
        <v>2019</v>
      </c>
      <c r="O45" s="207">
        <v>2033</v>
      </c>
      <c r="P45" s="151"/>
      <c r="Q45" s="208"/>
      <c r="R45" s="69" t="s">
        <v>159</v>
      </c>
      <c r="S45" s="210"/>
      <c r="T45" s="209"/>
      <c r="U45" s="324">
        <f>2069440+58685</f>
        <v>2128125</v>
      </c>
      <c r="V45" s="210"/>
      <c r="W45" s="286">
        <f t="shared" si="55"/>
        <v>47882.8125</v>
      </c>
      <c r="X45" s="286">
        <f t="shared" si="55"/>
        <v>26084.428124999999</v>
      </c>
      <c r="Y45" s="286">
        <f t="shared" si="55"/>
        <v>21528.112499999999</v>
      </c>
      <c r="Z45" s="286">
        <f t="shared" ref="Z45" si="81">+W45+X45+Y45</f>
        <v>95495.353125000009</v>
      </c>
      <c r="AA45" s="210"/>
      <c r="AB45" s="211"/>
      <c r="AC45" s="100">
        <v>0</v>
      </c>
      <c r="AD45" s="100">
        <f>Y45</f>
        <v>21528.112499999999</v>
      </c>
      <c r="AE45" s="214"/>
      <c r="AF45" s="288">
        <f t="shared" si="57"/>
        <v>21528.112499999999</v>
      </c>
      <c r="AG45" s="257"/>
      <c r="AH45" s="289">
        <f t="shared" ref="AH45" si="82">+W45-AB45</f>
        <v>47882.8125</v>
      </c>
      <c r="AI45" s="287">
        <f t="shared" ref="AI45" si="83">+X45-AC45</f>
        <v>26084.428124999999</v>
      </c>
      <c r="AJ45" s="287">
        <f t="shared" ref="AJ45" si="84">+Y45-AD45</f>
        <v>0</v>
      </c>
      <c r="AK45" s="287">
        <f t="shared" ref="AK45" si="85">-AE45</f>
        <v>0</v>
      </c>
      <c r="AL45" s="287">
        <f t="shared" ref="AL45" si="86">+Z45-AF45</f>
        <v>73967.240625000006</v>
      </c>
    </row>
    <row r="46" spans="1:43" s="58" customFormat="1" ht="25.5" hidden="1" customHeight="1" x14ac:dyDescent="0.2">
      <c r="A46" s="229" t="s">
        <v>119</v>
      </c>
      <c r="B46" s="141" t="s">
        <v>179</v>
      </c>
      <c r="C46" s="230"/>
      <c r="D46" s="230"/>
      <c r="E46" s="146"/>
      <c r="F46" s="61">
        <v>28852</v>
      </c>
      <c r="G46" s="63">
        <v>42710</v>
      </c>
      <c r="H46" s="103" t="s">
        <v>80</v>
      </c>
      <c r="I46" s="65"/>
      <c r="J46" s="61" t="s">
        <v>118</v>
      </c>
      <c r="K46" s="63">
        <v>42725</v>
      </c>
      <c r="L46" s="152" t="s">
        <v>80</v>
      </c>
      <c r="M46" s="65"/>
      <c r="N46" s="66">
        <v>2017</v>
      </c>
      <c r="O46" s="66">
        <v>2037</v>
      </c>
      <c r="P46" s="151"/>
      <c r="Q46" s="68"/>
      <c r="R46" s="153" t="s">
        <v>122</v>
      </c>
      <c r="S46" s="65"/>
      <c r="T46" s="70"/>
      <c r="U46" s="324"/>
      <c r="V46" s="65"/>
      <c r="W46" s="71"/>
      <c r="X46" s="71"/>
      <c r="Y46" s="71"/>
      <c r="Z46" s="71"/>
      <c r="AA46" s="65"/>
      <c r="AB46" s="72"/>
      <c r="AC46" s="100"/>
      <c r="AD46" s="100"/>
      <c r="AE46" s="73"/>
      <c r="AF46" s="73"/>
      <c r="AG46" s="257"/>
      <c r="AH46" s="74"/>
      <c r="AI46" s="75"/>
      <c r="AJ46" s="75"/>
      <c r="AK46" s="75"/>
      <c r="AL46" s="75"/>
    </row>
    <row r="47" spans="1:43" s="58" customFormat="1" ht="65.25" customHeight="1" x14ac:dyDescent="0.2">
      <c r="A47" s="185" t="s">
        <v>133</v>
      </c>
      <c r="B47" s="186" t="s">
        <v>134</v>
      </c>
      <c r="C47" s="167"/>
      <c r="D47" s="167"/>
      <c r="E47" s="187" t="s">
        <v>140</v>
      </c>
      <c r="F47" s="163">
        <v>28336</v>
      </c>
      <c r="G47" s="165">
        <v>42206</v>
      </c>
      <c r="H47" s="84" t="s">
        <v>80</v>
      </c>
      <c r="I47" s="166"/>
      <c r="J47" s="163" t="s">
        <v>135</v>
      </c>
      <c r="K47" s="165">
        <v>42221</v>
      </c>
      <c r="L47" s="88" t="s">
        <v>80</v>
      </c>
      <c r="M47" s="166"/>
      <c r="N47" s="167">
        <v>2017</v>
      </c>
      <c r="O47" s="167">
        <v>2031</v>
      </c>
      <c r="P47" s="168"/>
      <c r="Q47" s="169"/>
      <c r="R47" s="170" t="s">
        <v>136</v>
      </c>
      <c r="S47" s="166"/>
      <c r="T47" s="171"/>
      <c r="U47" s="166">
        <f>6987960+57676</f>
        <v>7045636</v>
      </c>
      <c r="V47" s="166"/>
      <c r="W47" s="180">
        <f t="shared" si="55"/>
        <v>158526.81</v>
      </c>
      <c r="X47" s="180">
        <f t="shared" si="55"/>
        <v>86358.360451999994</v>
      </c>
      <c r="Y47" s="180">
        <f t="shared" si="55"/>
        <v>71273.653776000006</v>
      </c>
      <c r="Z47" s="180">
        <f t="shared" ref="Z47" si="87">+W47+X47+Y47</f>
        <v>316158.82422800001</v>
      </c>
      <c r="AA47" s="166"/>
      <c r="AB47" s="172">
        <v>0</v>
      </c>
      <c r="AC47" s="173">
        <v>0</v>
      </c>
      <c r="AD47" s="173">
        <f>Y47</f>
        <v>71273.653776000006</v>
      </c>
      <c r="AE47" s="174"/>
      <c r="AF47" s="181">
        <f t="shared" si="57"/>
        <v>71273.653776000006</v>
      </c>
      <c r="AG47" s="166"/>
      <c r="AH47" s="183">
        <f t="shared" ref="AH47" si="88">+W47-AB47</f>
        <v>158526.81</v>
      </c>
      <c r="AI47" s="182">
        <f t="shared" ref="AI47" si="89">+X47-AC47</f>
        <v>86358.360451999994</v>
      </c>
      <c r="AJ47" s="182">
        <f t="shared" ref="AJ47" si="90">+Y47-AD47</f>
        <v>0</v>
      </c>
      <c r="AK47" s="182">
        <f t="shared" ref="AK47" si="91">-AE47</f>
        <v>0</v>
      </c>
      <c r="AL47" s="182">
        <f t="shared" ref="AL47" si="92">+Z47-AF47</f>
        <v>244885.17045199999</v>
      </c>
      <c r="AM47" s="164"/>
    </row>
    <row r="48" spans="1:43" s="58" customFormat="1" ht="42.6" customHeight="1" x14ac:dyDescent="0.2">
      <c r="A48" s="138" t="s">
        <v>89</v>
      </c>
      <c r="B48" s="119" t="s">
        <v>90</v>
      </c>
      <c r="C48" s="120"/>
      <c r="D48" s="121"/>
      <c r="E48" s="122" t="s">
        <v>115</v>
      </c>
      <c r="F48" s="121">
        <v>28139</v>
      </c>
      <c r="G48" s="122">
        <v>42045</v>
      </c>
      <c r="H48" s="139" t="s">
        <v>80</v>
      </c>
      <c r="I48" s="119"/>
      <c r="J48" s="121" t="s">
        <v>84</v>
      </c>
      <c r="K48" s="122">
        <v>42053</v>
      </c>
      <c r="L48" s="152" t="s">
        <v>80</v>
      </c>
      <c r="M48" s="128"/>
      <c r="N48" s="126">
        <v>2016</v>
      </c>
      <c r="O48" s="126">
        <v>2030</v>
      </c>
      <c r="P48" s="69"/>
      <c r="Q48" s="128"/>
      <c r="R48" s="148" t="s">
        <v>95</v>
      </c>
      <c r="S48" s="128"/>
      <c r="T48" s="128"/>
      <c r="U48" s="324">
        <f>2562120+26555</f>
        <v>2588675</v>
      </c>
      <c r="V48" s="128"/>
      <c r="W48" s="129">
        <f t="shared" si="55"/>
        <v>58245.1875</v>
      </c>
      <c r="X48" s="129">
        <f t="shared" si="55"/>
        <v>31729.389475000004</v>
      </c>
      <c r="Y48" s="129">
        <f t="shared" si="55"/>
        <v>26187.036300000003</v>
      </c>
      <c r="Z48" s="129">
        <f>+W48+X48+Y48</f>
        <v>116161.61327500001</v>
      </c>
      <c r="AA48" s="128"/>
      <c r="AB48" s="130">
        <v>0</v>
      </c>
      <c r="AC48" s="100">
        <v>0</v>
      </c>
      <c r="AD48" s="100">
        <f>Y48</f>
        <v>26187.036300000003</v>
      </c>
      <c r="AE48" s="131"/>
      <c r="AF48" s="131">
        <f t="shared" si="57"/>
        <v>26187.036300000003</v>
      </c>
      <c r="AG48" s="257"/>
      <c r="AH48" s="132">
        <f>+W48-AB48</f>
        <v>58245.1875</v>
      </c>
      <c r="AI48" s="133">
        <f>+X48-AC48</f>
        <v>31729.389475000004</v>
      </c>
      <c r="AJ48" s="133">
        <f>+Y48-AD48</f>
        <v>0</v>
      </c>
      <c r="AK48" s="133">
        <f>-AE48</f>
        <v>0</v>
      </c>
      <c r="AL48" s="133">
        <f>+Z48-AF48</f>
        <v>89974.576975000004</v>
      </c>
      <c r="AM48" s="80"/>
      <c r="AN48" s="80"/>
      <c r="AO48" s="80"/>
      <c r="AP48" s="80"/>
      <c r="AQ48" s="80"/>
    </row>
    <row r="49" spans="1:40" s="58" customFormat="1" ht="25.5" customHeight="1" x14ac:dyDescent="0.2">
      <c r="A49" s="59" t="s">
        <v>30</v>
      </c>
      <c r="B49" s="60" t="s">
        <v>31</v>
      </c>
      <c r="C49" s="61">
        <v>35.043092999999999</v>
      </c>
      <c r="D49" s="61">
        <v>-85.2932019</v>
      </c>
      <c r="E49" s="62" t="s">
        <v>106</v>
      </c>
      <c r="F49" s="61">
        <v>27337</v>
      </c>
      <c r="G49" s="63">
        <v>41247</v>
      </c>
      <c r="H49" s="64" t="s">
        <v>80</v>
      </c>
      <c r="I49" s="65"/>
      <c r="J49" s="61" t="s">
        <v>61</v>
      </c>
      <c r="K49" s="63">
        <v>41262</v>
      </c>
      <c r="L49" s="154" t="s">
        <v>80</v>
      </c>
      <c r="M49" s="65"/>
      <c r="N49" s="66">
        <v>2013</v>
      </c>
      <c r="O49" s="66">
        <v>2024</v>
      </c>
      <c r="P49" s="151"/>
      <c r="Q49" s="68"/>
      <c r="R49" s="69"/>
      <c r="S49" s="65"/>
      <c r="T49" s="70"/>
      <c r="U49" s="324">
        <f>841400+5350</f>
        <v>846750</v>
      </c>
      <c r="V49" s="65"/>
      <c r="W49" s="71">
        <f t="shared" si="55"/>
        <v>19051.875</v>
      </c>
      <c r="X49" s="71">
        <f t="shared" si="55"/>
        <v>10378.614750000001</v>
      </c>
      <c r="Y49" s="71">
        <f t="shared" si="55"/>
        <v>8565.723</v>
      </c>
      <c r="Z49" s="71">
        <f t="shared" si="70"/>
        <v>37996.212749999999</v>
      </c>
      <c r="AA49" s="65"/>
      <c r="AB49" s="72">
        <v>5790.05</v>
      </c>
      <c r="AC49" s="73">
        <f>6374.23*X1/(X1+Y1)</f>
        <v>3492.1082157064311</v>
      </c>
      <c r="AD49" s="73">
        <f>5629.5+54.12+6374.23*Y1/(X1+Y1)</f>
        <v>8565.7417842935683</v>
      </c>
      <c r="AE49" s="73"/>
      <c r="AF49" s="73">
        <f t="shared" si="57"/>
        <v>17847.900000000001</v>
      </c>
      <c r="AG49" s="257"/>
      <c r="AH49" s="74">
        <f t="shared" si="71"/>
        <v>13261.825000000001</v>
      </c>
      <c r="AI49" s="75">
        <f t="shared" si="71"/>
        <v>6886.5065342935695</v>
      </c>
      <c r="AJ49" s="75">
        <f>ROUND(+Y49-AD49,0)</f>
        <v>0</v>
      </c>
      <c r="AK49" s="75">
        <f t="shared" si="72"/>
        <v>0</v>
      </c>
      <c r="AL49" s="75">
        <f t="shared" si="73"/>
        <v>20148.312749999997</v>
      </c>
    </row>
    <row r="50" spans="1:40" s="58" customFormat="1" ht="25.5" customHeight="1" x14ac:dyDescent="0.2">
      <c r="A50" s="59" t="s">
        <v>28</v>
      </c>
      <c r="B50" s="60" t="s">
        <v>29</v>
      </c>
      <c r="C50" s="102"/>
      <c r="D50" s="102"/>
      <c r="E50" s="62" t="s">
        <v>105</v>
      </c>
      <c r="F50" s="61">
        <v>27336</v>
      </c>
      <c r="G50" s="63">
        <v>41247</v>
      </c>
      <c r="H50" s="64" t="s">
        <v>80</v>
      </c>
      <c r="I50" s="65"/>
      <c r="J50" s="61" t="s">
        <v>60</v>
      </c>
      <c r="K50" s="63">
        <v>41262</v>
      </c>
      <c r="L50" s="154" t="s">
        <v>80</v>
      </c>
      <c r="M50" s="65"/>
      <c r="N50" s="66">
        <v>2013</v>
      </c>
      <c r="O50" s="66">
        <v>2024</v>
      </c>
      <c r="P50" s="151"/>
      <c r="Q50" s="68"/>
      <c r="R50" s="69"/>
      <c r="S50" s="65"/>
      <c r="T50" s="70"/>
      <c r="U50" s="324">
        <f>172560+644800+4315</f>
        <v>821675</v>
      </c>
      <c r="V50" s="65"/>
      <c r="W50" s="71">
        <f t="shared" si="55"/>
        <v>18487.6875</v>
      </c>
      <c r="X50" s="71">
        <f t="shared" si="55"/>
        <v>10071.270474999999</v>
      </c>
      <c r="Y50" s="71">
        <f t="shared" si="55"/>
        <v>8312.0643</v>
      </c>
      <c r="Z50" s="71">
        <f t="shared" si="70"/>
        <v>36871.022274999996</v>
      </c>
      <c r="AA50" s="65"/>
      <c r="AB50" s="72">
        <f>593.87+9553.72</f>
        <v>10147.59</v>
      </c>
      <c r="AC50" s="73">
        <f>(654.95+9257.06)*X1/(X1+Y1)</f>
        <v>5430.2733906941394</v>
      </c>
      <c r="AD50" s="73">
        <f>1449.48+2337.2+43.65+(654.95+9257.06)*Y1/(X1+Y1)</f>
        <v>8312.0666093058608</v>
      </c>
      <c r="AE50" s="73"/>
      <c r="AF50" s="73">
        <f t="shared" si="57"/>
        <v>23889.93</v>
      </c>
      <c r="AG50" s="257"/>
      <c r="AH50" s="74">
        <f t="shared" si="71"/>
        <v>8340.0974999999999</v>
      </c>
      <c r="AI50" s="75">
        <f t="shared" si="71"/>
        <v>4640.99708430586</v>
      </c>
      <c r="AJ50" s="175">
        <f>ROUND(+Y50-AD50,0)</f>
        <v>0</v>
      </c>
      <c r="AK50" s="75">
        <f t="shared" si="72"/>
        <v>0</v>
      </c>
      <c r="AL50" s="75">
        <f t="shared" si="73"/>
        <v>12981.092274999995</v>
      </c>
    </row>
    <row r="51" spans="1:40" s="58" customFormat="1" ht="26.25" customHeight="1" x14ac:dyDescent="0.2">
      <c r="A51" s="59" t="s">
        <v>32</v>
      </c>
      <c r="B51" s="60" t="s">
        <v>33</v>
      </c>
      <c r="C51" s="61">
        <v>35.054606679999999</v>
      </c>
      <c r="D51" s="61">
        <v>-85.307281329999995</v>
      </c>
      <c r="E51" s="62" t="s">
        <v>116</v>
      </c>
      <c r="F51" s="61">
        <v>23253</v>
      </c>
      <c r="G51" s="63">
        <v>40513</v>
      </c>
      <c r="H51" s="64" t="s">
        <v>80</v>
      </c>
      <c r="I51" s="65"/>
      <c r="J51" s="61" t="s">
        <v>52</v>
      </c>
      <c r="K51" s="63">
        <v>37349</v>
      </c>
      <c r="L51" s="154" t="s">
        <v>80</v>
      </c>
      <c r="M51" s="65"/>
      <c r="N51" s="66">
        <v>2012</v>
      </c>
      <c r="O51" s="66">
        <v>2025</v>
      </c>
      <c r="P51" s="151"/>
      <c r="Q51" s="68"/>
      <c r="R51" s="69"/>
      <c r="S51" s="65"/>
      <c r="T51" s="70"/>
      <c r="U51" s="324">
        <v>5316680</v>
      </c>
      <c r="V51" s="65"/>
      <c r="W51" s="71">
        <f t="shared" si="55"/>
        <v>119625.3</v>
      </c>
      <c r="X51" s="71">
        <f t="shared" si="55"/>
        <v>65166.546759999997</v>
      </c>
      <c r="Y51" s="71">
        <f t="shared" si="55"/>
        <v>53783.534879999999</v>
      </c>
      <c r="Z51" s="71">
        <f t="shared" si="70"/>
        <v>238575.38163999998</v>
      </c>
      <c r="AA51" s="65"/>
      <c r="AB51" s="72">
        <v>0</v>
      </c>
      <c r="AC51" s="73">
        <v>0</v>
      </c>
      <c r="AD51" s="73">
        <v>0</v>
      </c>
      <c r="AE51" s="73"/>
      <c r="AF51" s="73">
        <f t="shared" si="57"/>
        <v>0</v>
      </c>
      <c r="AG51" s="257"/>
      <c r="AH51" s="74">
        <f t="shared" si="71"/>
        <v>119625.3</v>
      </c>
      <c r="AI51" s="75">
        <f t="shared" si="71"/>
        <v>65166.546759999997</v>
      </c>
      <c r="AJ51" s="75">
        <f t="shared" si="71"/>
        <v>53783.534879999999</v>
      </c>
      <c r="AK51" s="75">
        <f t="shared" si="72"/>
        <v>0</v>
      </c>
      <c r="AL51" s="75">
        <f t="shared" si="73"/>
        <v>238575.38163999998</v>
      </c>
    </row>
    <row r="52" spans="1:40" s="58" customFormat="1" ht="26.25" customHeight="1" x14ac:dyDescent="0.2">
      <c r="A52" s="109" t="s">
        <v>124</v>
      </c>
      <c r="B52" s="60"/>
      <c r="C52" s="61"/>
      <c r="D52" s="61"/>
      <c r="E52" s="62"/>
      <c r="F52" s="61"/>
      <c r="G52" s="63"/>
      <c r="H52" s="64"/>
      <c r="I52" s="65"/>
      <c r="J52" s="61"/>
      <c r="K52" s="63"/>
      <c r="L52" s="154"/>
      <c r="M52" s="65"/>
      <c r="N52" s="66"/>
      <c r="O52" s="66"/>
      <c r="P52" s="151"/>
      <c r="Q52" s="68"/>
      <c r="R52" s="69"/>
      <c r="S52" s="65"/>
      <c r="T52" s="70"/>
      <c r="U52" s="324"/>
      <c r="V52" s="65"/>
      <c r="W52" s="71"/>
      <c r="X52" s="71"/>
      <c r="Y52" s="71"/>
      <c r="Z52" s="71"/>
      <c r="AA52" s="65"/>
      <c r="AB52" s="72"/>
      <c r="AC52" s="73"/>
      <c r="AD52" s="73"/>
      <c r="AE52" s="73"/>
      <c r="AF52" s="73"/>
      <c r="AG52" s="257"/>
      <c r="AH52" s="74"/>
      <c r="AI52" s="75"/>
      <c r="AJ52" s="75"/>
      <c r="AK52" s="75"/>
      <c r="AL52" s="75"/>
    </row>
    <row r="53" spans="1:40" s="58" customFormat="1" ht="36" x14ac:dyDescent="0.2">
      <c r="A53" s="249" t="s">
        <v>166</v>
      </c>
      <c r="B53" s="141" t="s">
        <v>121</v>
      </c>
      <c r="C53" s="244"/>
      <c r="D53" s="244"/>
      <c r="E53" s="146" t="s">
        <v>168</v>
      </c>
      <c r="F53" s="61">
        <v>28835</v>
      </c>
      <c r="G53" s="63">
        <v>42682</v>
      </c>
      <c r="H53" s="103" t="s">
        <v>80</v>
      </c>
      <c r="I53" s="65"/>
      <c r="J53" s="66" t="s">
        <v>120</v>
      </c>
      <c r="K53" s="155">
        <v>42711</v>
      </c>
      <c r="L53" s="156" t="s">
        <v>80</v>
      </c>
      <c r="M53" s="65"/>
      <c r="N53" s="66">
        <v>2018</v>
      </c>
      <c r="O53" s="66">
        <v>2058</v>
      </c>
      <c r="P53" s="151"/>
      <c r="Q53" s="68"/>
      <c r="R53" s="153" t="s">
        <v>125</v>
      </c>
      <c r="S53" s="65"/>
      <c r="T53" s="70"/>
      <c r="U53" s="324">
        <f>2787720+17538</f>
        <v>2805258</v>
      </c>
      <c r="V53" s="65"/>
      <c r="W53" s="240">
        <f t="shared" si="55"/>
        <v>63118.305</v>
      </c>
      <c r="X53" s="240">
        <f t="shared" si="55"/>
        <v>34384.047306</v>
      </c>
      <c r="Y53" s="240">
        <f t="shared" si="55"/>
        <v>28377.989928000003</v>
      </c>
      <c r="Z53" s="240">
        <f t="shared" ref="Z53" si="93">+W53+X53+Y53</f>
        <v>125880.34223400001</v>
      </c>
      <c r="AA53" s="65"/>
      <c r="AB53" s="72"/>
      <c r="AC53" s="73"/>
      <c r="AD53" s="73">
        <v>51000</v>
      </c>
      <c r="AE53" s="73"/>
      <c r="AF53" s="247">
        <f t="shared" si="57"/>
        <v>51000</v>
      </c>
      <c r="AG53" s="257"/>
      <c r="AH53" s="248">
        <f t="shared" ref="AH53" si="94">+W53-AB53</f>
        <v>63118.305</v>
      </c>
      <c r="AI53" s="246">
        <f t="shared" ref="AI53" si="95">+X53-AC53</f>
        <v>34384.047306</v>
      </c>
      <c r="AJ53" s="246">
        <f t="shared" ref="AJ53" si="96">+Y53-AD53</f>
        <v>-22622.010071999997</v>
      </c>
      <c r="AK53" s="246">
        <f t="shared" ref="AK53" si="97">-AE53</f>
        <v>0</v>
      </c>
      <c r="AL53" s="246">
        <f t="shared" ref="AL53" si="98">+Z53-AF53</f>
        <v>74880.342234000011</v>
      </c>
    </row>
    <row r="54" spans="1:40" s="58" customFormat="1" ht="4.5" customHeight="1" x14ac:dyDescent="0.2">
      <c r="A54" s="79"/>
      <c r="B54" s="80"/>
      <c r="C54" s="81"/>
      <c r="D54" s="81"/>
      <c r="E54" s="82"/>
      <c r="F54" s="81"/>
      <c r="G54" s="83"/>
      <c r="H54" s="84"/>
      <c r="I54" s="85"/>
      <c r="J54" s="81"/>
      <c r="K54" s="83"/>
      <c r="L54" s="88"/>
      <c r="M54" s="85"/>
      <c r="N54" s="157"/>
      <c r="O54" s="157"/>
      <c r="P54" s="158"/>
      <c r="Q54" s="91"/>
      <c r="R54" s="159"/>
      <c r="S54" s="85"/>
      <c r="T54" s="160"/>
      <c r="U54" s="85"/>
      <c r="V54" s="85"/>
      <c r="W54" s="94"/>
      <c r="X54" s="94"/>
      <c r="Y54" s="94"/>
      <c r="Z54" s="94"/>
      <c r="AA54" s="85"/>
      <c r="AB54" s="96"/>
      <c r="AC54" s="161"/>
      <c r="AD54" s="161"/>
      <c r="AE54" s="161"/>
      <c r="AF54" s="161"/>
      <c r="AG54" s="85"/>
      <c r="AH54" s="97"/>
      <c r="AI54" s="162"/>
      <c r="AJ54" s="162"/>
      <c r="AK54" s="162"/>
      <c r="AL54" s="162"/>
    </row>
    <row r="55" spans="1:40" ht="25.5" customHeight="1" thickBot="1" x14ac:dyDescent="0.25">
      <c r="R55" s="31"/>
      <c r="W55" s="26">
        <f>SUM(W5:W53)</f>
        <v>19948700.265433006</v>
      </c>
      <c r="X55" s="26">
        <f>SUM(X5:X53)</f>
        <v>10656530.568592999</v>
      </c>
      <c r="Y55" s="26">
        <f>SUM(Y5:Y53)</f>
        <v>8795093.6875119992</v>
      </c>
      <c r="Z55" s="26">
        <f>SUM(Z5:Z53)</f>
        <v>39400324.521538004</v>
      </c>
      <c r="AB55" s="25">
        <f>SUM(AB5:AB53)</f>
        <v>4073593.0276864995</v>
      </c>
      <c r="AC55" s="25">
        <f>SUM(AC5:AC53)</f>
        <v>1984962.373747146</v>
      </c>
      <c r="AD55" s="25">
        <f>SUM(AD5:AD53)</f>
        <v>7269197.8107892573</v>
      </c>
      <c r="AE55" s="25">
        <f>SUM(AE5:AE53)</f>
        <v>944454.57191543677</v>
      </c>
      <c r="AF55" s="25">
        <f>SUM(AF5:AF53)</f>
        <v>14272207.784138341</v>
      </c>
      <c r="AH55" s="23">
        <f>SUM(AH5:AH53)</f>
        <v>15875107.237746496</v>
      </c>
      <c r="AI55" s="23">
        <f>SUM(AI5:AI53)</f>
        <v>8671568.1948458534</v>
      </c>
      <c r="AJ55" s="23">
        <f>SUM(AJ5:AJ53)</f>
        <v>1525895.897816343</v>
      </c>
      <c r="AK55" s="23">
        <f>SUM(AK5:AK53)</f>
        <v>-944454.57191543677</v>
      </c>
      <c r="AL55" s="23">
        <f>SUM(AL5:AL53)</f>
        <v>25128116.737399656</v>
      </c>
      <c r="AM55" s="3"/>
      <c r="AN55" s="3"/>
    </row>
    <row r="56" spans="1:40" ht="30.6" customHeight="1" thickTop="1" x14ac:dyDescent="0.2">
      <c r="A56" s="225" t="s">
        <v>224</v>
      </c>
      <c r="B56" s="39"/>
      <c r="C56" s="39"/>
      <c r="D56" s="39"/>
      <c r="E56" s="39"/>
      <c r="F56" s="39"/>
      <c r="G56" s="39"/>
      <c r="H56" s="39"/>
      <c r="I56" s="39"/>
      <c r="J56" s="39"/>
      <c r="K56" s="39"/>
      <c r="L56" s="39"/>
      <c r="M56" s="38"/>
      <c r="N56" s="37"/>
      <c r="O56" s="37"/>
      <c r="R56" s="31"/>
    </row>
    <row r="57" spans="1:40" ht="30.6" customHeight="1" x14ac:dyDescent="0.2">
      <c r="A57" s="275"/>
      <c r="B57" s="276"/>
      <c r="C57" s="276"/>
      <c r="D57" s="276"/>
      <c r="E57" s="276"/>
      <c r="F57" s="276"/>
      <c r="G57" s="276"/>
      <c r="H57" s="276"/>
      <c r="I57" s="276"/>
      <c r="J57" s="276"/>
      <c r="K57" s="276"/>
      <c r="L57" s="276"/>
      <c r="M57" s="38"/>
      <c r="N57" s="37"/>
      <c r="O57" s="37"/>
      <c r="R57" s="31"/>
      <c r="AB57" s="384"/>
      <c r="AC57" s="384"/>
      <c r="AD57" s="384"/>
      <c r="AE57" s="384"/>
      <c r="AF57" s="384"/>
    </row>
    <row r="58" spans="1:40" ht="30.6" customHeight="1" x14ac:dyDescent="0.2">
      <c r="A58" s="275"/>
      <c r="B58" s="276"/>
      <c r="C58" s="276"/>
      <c r="D58" s="276"/>
      <c r="E58" s="276"/>
      <c r="F58" s="276"/>
      <c r="G58" s="276"/>
      <c r="H58" s="276"/>
      <c r="I58" s="276"/>
      <c r="J58" s="276"/>
      <c r="K58" s="276"/>
      <c r="L58" s="276"/>
      <c r="M58" s="38"/>
      <c r="N58" s="37"/>
      <c r="O58" s="37"/>
      <c r="R58" s="31"/>
      <c r="AB58" s="374"/>
      <c r="AC58" s="374"/>
      <c r="AD58" s="374"/>
      <c r="AE58" s="374"/>
      <c r="AF58" s="374"/>
    </row>
    <row r="59" spans="1:40" ht="30.6" customHeight="1" x14ac:dyDescent="0.2">
      <c r="A59" s="275"/>
      <c r="B59" s="276"/>
      <c r="C59" s="276"/>
      <c r="D59" s="276"/>
      <c r="E59" s="276"/>
      <c r="F59" s="276"/>
      <c r="G59" s="276"/>
      <c r="H59" s="276"/>
      <c r="I59" s="276"/>
      <c r="J59" s="276"/>
      <c r="K59" s="276"/>
      <c r="L59" s="276"/>
      <c r="M59" s="38"/>
      <c r="N59" s="37"/>
      <c r="O59" s="37"/>
      <c r="R59" s="31"/>
      <c r="AB59" s="374"/>
      <c r="AC59" s="374"/>
      <c r="AD59" s="374"/>
      <c r="AE59" s="374"/>
      <c r="AF59" s="374"/>
    </row>
    <row r="60" spans="1:40" ht="15" customHeight="1" x14ac:dyDescent="0.2">
      <c r="R60" s="31"/>
    </row>
    <row r="61" spans="1:40" customFormat="1" ht="15" customHeight="1" thickBot="1" x14ac:dyDescent="0.25">
      <c r="A61" s="22"/>
      <c r="E61" s="15"/>
      <c r="F61" s="377" t="s">
        <v>46</v>
      </c>
      <c r="G61" s="377"/>
      <c r="H61" s="377"/>
      <c r="I61" s="36"/>
      <c r="J61" s="377" t="s">
        <v>47</v>
      </c>
      <c r="K61" s="377"/>
      <c r="L61" s="377"/>
      <c r="M61" s="36"/>
      <c r="N61" s="22"/>
      <c r="O61" s="22"/>
      <c r="Q61" s="32"/>
      <c r="R61" s="27"/>
      <c r="S61" s="1"/>
      <c r="T61" s="1"/>
      <c r="U61" s="34"/>
      <c r="V61" s="5"/>
      <c r="W61" s="201" t="s">
        <v>148</v>
      </c>
      <c r="X61" s="7"/>
      <c r="Y61" s="7"/>
      <c r="Z61" s="7"/>
      <c r="AA61" s="5"/>
      <c r="AB61" s="378" t="s">
        <v>180</v>
      </c>
      <c r="AC61" s="379"/>
      <c r="AD61" s="379"/>
      <c r="AE61" s="379"/>
      <c r="AF61" s="380"/>
      <c r="AG61" s="5"/>
      <c r="AH61" s="381" t="s">
        <v>149</v>
      </c>
      <c r="AI61" s="382"/>
      <c r="AJ61" s="382"/>
      <c r="AK61" s="382"/>
      <c r="AL61" s="383"/>
    </row>
    <row r="62" spans="1:40" s="15" customFormat="1" ht="24" customHeight="1" x14ac:dyDescent="0.2">
      <c r="A62" s="16" t="s">
        <v>0</v>
      </c>
      <c r="B62" s="8" t="s">
        <v>3</v>
      </c>
      <c r="C62" s="24" t="s">
        <v>8</v>
      </c>
      <c r="D62" s="24" t="s">
        <v>9</v>
      </c>
      <c r="E62" s="8" t="s">
        <v>66</v>
      </c>
      <c r="F62" s="8" t="s">
        <v>59</v>
      </c>
      <c r="G62" s="14" t="s">
        <v>5</v>
      </c>
      <c r="H62" s="14" t="s">
        <v>79</v>
      </c>
      <c r="I62" s="12"/>
      <c r="J62" s="8" t="s">
        <v>59</v>
      </c>
      <c r="K62" s="14" t="s">
        <v>5</v>
      </c>
      <c r="L62" s="14" t="s">
        <v>79</v>
      </c>
      <c r="M62" s="12"/>
      <c r="N62" s="16" t="s">
        <v>6</v>
      </c>
      <c r="O62" s="16" t="s">
        <v>7</v>
      </c>
      <c r="P62" s="16" t="s">
        <v>1</v>
      </c>
      <c r="Q62" s="30" t="s">
        <v>2</v>
      </c>
      <c r="R62" s="16" t="s">
        <v>92</v>
      </c>
      <c r="S62" s="12" t="s">
        <v>123</v>
      </c>
      <c r="T62" s="9" t="s">
        <v>4</v>
      </c>
      <c r="U62" s="12" t="s">
        <v>147</v>
      </c>
      <c r="V62" s="12"/>
      <c r="W62" s="11" t="s">
        <v>36</v>
      </c>
      <c r="X62" s="11" t="s">
        <v>37</v>
      </c>
      <c r="Y62" s="11" t="s">
        <v>38</v>
      </c>
      <c r="Z62" s="10" t="s">
        <v>181</v>
      </c>
      <c r="AA62" s="12"/>
      <c r="AB62" s="21" t="s">
        <v>187</v>
      </c>
      <c r="AC62" s="21" t="s">
        <v>188</v>
      </c>
      <c r="AD62" s="21" t="s">
        <v>189</v>
      </c>
      <c r="AE62" s="21" t="s">
        <v>178</v>
      </c>
      <c r="AF62" s="21" t="s">
        <v>150</v>
      </c>
      <c r="AG62" s="12"/>
      <c r="AH62" s="13" t="s">
        <v>42</v>
      </c>
      <c r="AI62" s="13" t="s">
        <v>43</v>
      </c>
      <c r="AJ62" s="13" t="s">
        <v>44</v>
      </c>
      <c r="AK62" s="13" t="s">
        <v>178</v>
      </c>
      <c r="AL62" s="13" t="s">
        <v>182</v>
      </c>
    </row>
    <row r="63" spans="1:40" ht="15" customHeight="1" x14ac:dyDescent="0.2">
      <c r="R63" s="31"/>
    </row>
    <row r="64" spans="1:40" ht="28.5" customHeight="1" x14ac:dyDescent="0.2">
      <c r="A64" s="109" t="s">
        <v>143</v>
      </c>
      <c r="R64" s="31"/>
    </row>
    <row r="65" spans="1:40" s="58" customFormat="1" ht="25.5" customHeight="1" x14ac:dyDescent="0.2">
      <c r="A65" s="199" t="s">
        <v>144</v>
      </c>
      <c r="B65" s="195"/>
      <c r="C65" s="102"/>
      <c r="D65" s="102"/>
      <c r="E65" s="196"/>
      <c r="F65" s="197">
        <v>27143</v>
      </c>
      <c r="G65" s="198">
        <v>41079</v>
      </c>
      <c r="H65" s="202" t="s">
        <v>80</v>
      </c>
      <c r="I65" s="194"/>
      <c r="J65" s="197" t="s">
        <v>151</v>
      </c>
      <c r="K65" s="198">
        <v>41066</v>
      </c>
      <c r="L65" s="152" t="s">
        <v>80</v>
      </c>
      <c r="M65" s="194"/>
      <c r="N65" s="191">
        <v>2013</v>
      </c>
      <c r="O65" s="191">
        <v>2032</v>
      </c>
      <c r="P65" s="192" t="s">
        <v>10</v>
      </c>
      <c r="Q65" s="192" t="s">
        <v>10</v>
      </c>
      <c r="R65" s="69" t="s">
        <v>146</v>
      </c>
      <c r="S65" s="192">
        <v>500000000</v>
      </c>
      <c r="T65" s="193"/>
      <c r="U65" s="311">
        <v>22158846</v>
      </c>
      <c r="V65" s="194"/>
      <c r="W65" s="305">
        <f>+$U65*W$1/100</f>
        <v>498574.03499999997</v>
      </c>
      <c r="X65" s="305">
        <f t="shared" ref="W65:Y67" si="99">+$U65*X$1/100</f>
        <v>271600.97542199999</v>
      </c>
      <c r="Y65" s="305">
        <f t="shared" si="99"/>
        <v>224158.88613600002</v>
      </c>
      <c r="Z65" s="305">
        <f t="shared" ref="Z65" si="100">+W65+X65+Y65</f>
        <v>994333.89655800001</v>
      </c>
      <c r="AA65" s="311"/>
      <c r="AB65" s="314">
        <f>ROUND(+(685500*0.02309)+(U65-685500)*0.004029,0)</f>
        <v>102344</v>
      </c>
      <c r="AC65" s="307">
        <f>ROUND(+(685500*(0.013926-0.004075))+(U65)*0.00365,0)</f>
        <v>87633</v>
      </c>
      <c r="AD65" s="307">
        <f>+U65*$Y$1/100</f>
        <v>224158.88613600002</v>
      </c>
      <c r="AE65" s="307">
        <f>ROUND((AH65+AI65+AJ65)*0.05,0)</f>
        <v>29010</v>
      </c>
      <c r="AF65" s="307">
        <f>SUM(AB65:AE65)</f>
        <v>443145.88613600004</v>
      </c>
      <c r="AG65" s="311"/>
      <c r="AH65" s="308">
        <f t="shared" ref="AH65" si="101">+W65-AB65</f>
        <v>396230.03499999997</v>
      </c>
      <c r="AI65" s="306">
        <f t="shared" ref="AI65" si="102">+X65-AC65</f>
        <v>183967.97542199999</v>
      </c>
      <c r="AJ65" s="306">
        <f t="shared" ref="AJ65" si="103">+Y65-AD65</f>
        <v>0</v>
      </c>
      <c r="AK65" s="306">
        <f t="shared" ref="AK65" si="104">-AE65</f>
        <v>-29010</v>
      </c>
      <c r="AL65" s="306">
        <f t="shared" ref="AL65" si="105">+Z65-AF65</f>
        <v>551188.01042199996</v>
      </c>
    </row>
    <row r="66" spans="1:40" s="58" customFormat="1" ht="25.5" customHeight="1" x14ac:dyDescent="0.2">
      <c r="A66" s="199" t="s">
        <v>145</v>
      </c>
      <c r="B66" s="195"/>
      <c r="C66" s="102"/>
      <c r="D66" s="102"/>
      <c r="E66" s="196"/>
      <c r="F66" s="197">
        <v>29336</v>
      </c>
      <c r="G66" s="198">
        <v>43151</v>
      </c>
      <c r="H66" s="200" t="s">
        <v>80</v>
      </c>
      <c r="I66" s="194"/>
      <c r="J66" s="197" t="s">
        <v>152</v>
      </c>
      <c r="K66" s="198">
        <v>43166</v>
      </c>
      <c r="L66" s="152" t="s">
        <v>80</v>
      </c>
      <c r="M66" s="194"/>
      <c r="N66" s="191">
        <v>2018</v>
      </c>
      <c r="O66" s="191">
        <v>2032</v>
      </c>
      <c r="P66" s="216">
        <v>92</v>
      </c>
      <c r="Q66" s="192" t="s">
        <v>10</v>
      </c>
      <c r="R66" s="69"/>
      <c r="S66" s="192" t="s">
        <v>10</v>
      </c>
      <c r="T66" s="193"/>
      <c r="U66" s="347">
        <v>24646120</v>
      </c>
      <c r="V66" s="194"/>
      <c r="W66" s="305">
        <f t="shared" si="99"/>
        <v>554537.69999999995</v>
      </c>
      <c r="X66" s="305">
        <f t="shared" si="99"/>
        <v>302087.49284000002</v>
      </c>
      <c r="Y66" s="305">
        <f t="shared" si="99"/>
        <v>249320.14992000003</v>
      </c>
      <c r="Z66" s="305">
        <f t="shared" ref="Z66" si="106">+W66+X66+Y66</f>
        <v>1105945.3427599999</v>
      </c>
      <c r="AA66" s="311"/>
      <c r="AB66" s="314">
        <f>ROUND(+(2231247*0.02309)+(U66-2231247)*0.004029,0)</f>
        <v>141829</v>
      </c>
      <c r="AC66" s="307">
        <f>ROUND(+(2231247*(0.015149-0.004223))+(U66)*0.00365,0)</f>
        <v>114337</v>
      </c>
      <c r="AD66" s="307">
        <f>+U66*$Y$1/100</f>
        <v>249320.14992000003</v>
      </c>
      <c r="AE66" s="307">
        <f>ROUND((AH66+AI66+AJ66)*0.05,0)</f>
        <v>30023</v>
      </c>
      <c r="AF66" s="307">
        <f>SUM(AB66:AE66)</f>
        <v>535509.14992</v>
      </c>
      <c r="AG66" s="311"/>
      <c r="AH66" s="308">
        <f t="shared" ref="AH66" si="107">+W66-AB66</f>
        <v>412708.69999999995</v>
      </c>
      <c r="AI66" s="306">
        <f t="shared" ref="AI66" si="108">+X66-AC66</f>
        <v>187750.49284000002</v>
      </c>
      <c r="AJ66" s="306">
        <f t="shared" ref="AJ66" si="109">+Y66-AD66</f>
        <v>0</v>
      </c>
      <c r="AK66" s="306">
        <f t="shared" ref="AK66" si="110">-AE66</f>
        <v>-30023</v>
      </c>
      <c r="AL66" s="306">
        <f t="shared" ref="AL66" si="111">+Z66-AF66</f>
        <v>570436.19283999992</v>
      </c>
    </row>
    <row r="67" spans="1:40" s="58" customFormat="1" ht="39.75" customHeight="1" x14ac:dyDescent="0.2">
      <c r="A67" s="302" t="s">
        <v>193</v>
      </c>
      <c r="B67" s="300"/>
      <c r="C67" s="102"/>
      <c r="D67" s="102"/>
      <c r="E67" s="301"/>
      <c r="F67" s="312">
        <v>30103</v>
      </c>
      <c r="G67" s="101">
        <v>43753</v>
      </c>
      <c r="H67" s="152" t="s">
        <v>80</v>
      </c>
      <c r="I67" s="313"/>
      <c r="J67" s="312" t="s">
        <v>194</v>
      </c>
      <c r="K67" s="101">
        <v>43817</v>
      </c>
      <c r="L67" s="152" t="s">
        <v>80</v>
      </c>
      <c r="M67" s="313"/>
      <c r="N67" s="312">
        <v>2020</v>
      </c>
      <c r="O67" s="309">
        <v>2040</v>
      </c>
      <c r="P67" s="310" t="s">
        <v>10</v>
      </c>
      <c r="Q67" s="310" t="s">
        <v>10</v>
      </c>
      <c r="R67" s="69" t="s">
        <v>195</v>
      </c>
      <c r="S67" s="310" t="s">
        <v>10</v>
      </c>
      <c r="T67" s="304"/>
      <c r="U67" s="347">
        <v>626480</v>
      </c>
      <c r="V67" s="298"/>
      <c r="W67" s="294">
        <f t="shared" si="99"/>
        <v>14095.8</v>
      </c>
      <c r="X67" s="294">
        <f t="shared" si="99"/>
        <v>7678.7653599999994</v>
      </c>
      <c r="Y67" s="294">
        <f t="shared" si="99"/>
        <v>6337.4716800000006</v>
      </c>
      <c r="Z67" s="294">
        <f t="shared" ref="Z67" si="112">+W67+X67+Y67</f>
        <v>28112.037040000003</v>
      </c>
      <c r="AA67" s="298"/>
      <c r="AB67" s="346">
        <f>ROUND(+(0*0.02277)+(U67-0)*0.004029,0)</f>
        <v>2524</v>
      </c>
      <c r="AC67" s="346">
        <f>ROUND(+(0*(0.015149-0.004612))+(U67)*0.00365,0)</f>
        <v>2287</v>
      </c>
      <c r="AD67" s="296">
        <f>+U67*$Y$1/100</f>
        <v>6337.4716800000006</v>
      </c>
      <c r="AE67" s="296">
        <f>ROUND((AH67+AI67+AJ67)*0.05,0)</f>
        <v>848</v>
      </c>
      <c r="AF67" s="296">
        <f>SUM(AB67:AE67)</f>
        <v>11996.471680000001</v>
      </c>
      <c r="AG67" s="298"/>
      <c r="AH67" s="297">
        <f t="shared" ref="AH67" si="113">+W67-AB67</f>
        <v>11571.8</v>
      </c>
      <c r="AI67" s="295">
        <f t="shared" ref="AI67" si="114">+X67-AC67</f>
        <v>5391.7653599999994</v>
      </c>
      <c r="AJ67" s="295">
        <f t="shared" ref="AJ67" si="115">+Y67-AD67</f>
        <v>0</v>
      </c>
      <c r="AK67" s="295">
        <f t="shared" ref="AK67" si="116">-AE67</f>
        <v>-848</v>
      </c>
      <c r="AL67" s="295">
        <f t="shared" ref="AL67" si="117">+Z67-AF67</f>
        <v>16115.565360000002</v>
      </c>
    </row>
    <row r="68" spans="1:40" s="58" customFormat="1" ht="4.5" customHeight="1" x14ac:dyDescent="0.2">
      <c r="A68" s="79"/>
      <c r="B68" s="80"/>
      <c r="C68" s="81"/>
      <c r="D68" s="81"/>
      <c r="E68" s="82"/>
      <c r="F68" s="81"/>
      <c r="G68" s="83"/>
      <c r="H68" s="84"/>
      <c r="I68" s="85"/>
      <c r="J68" s="81"/>
      <c r="K68" s="83"/>
      <c r="L68" s="88"/>
      <c r="M68" s="85"/>
      <c r="N68" s="157"/>
      <c r="O68" s="157"/>
      <c r="P68" s="158"/>
      <c r="Q68" s="91"/>
      <c r="R68" s="159"/>
      <c r="S68" s="85"/>
      <c r="T68" s="160"/>
      <c r="U68" s="85"/>
      <c r="V68" s="85"/>
      <c r="W68" s="94"/>
      <c r="X68" s="94"/>
      <c r="Y68" s="94"/>
      <c r="Z68" s="94"/>
      <c r="AA68" s="85"/>
      <c r="AB68" s="96"/>
      <c r="AC68" s="161"/>
      <c r="AD68" s="161"/>
      <c r="AE68" s="161"/>
      <c r="AF68" s="161"/>
      <c r="AG68" s="85"/>
      <c r="AH68" s="97"/>
      <c r="AI68" s="162"/>
      <c r="AJ68" s="162"/>
      <c r="AK68" s="162"/>
      <c r="AL68" s="162"/>
    </row>
    <row r="69" spans="1:40" ht="25.5" customHeight="1" thickBot="1" x14ac:dyDescent="0.25">
      <c r="R69" s="31"/>
      <c r="W69" s="26">
        <f>SUM(W65:W68)</f>
        <v>1067207.5349999999</v>
      </c>
      <c r="X69" s="26">
        <f t="shared" ref="X69:Z69" si="118">SUM(X65:X68)</f>
        <v>581367.23362199997</v>
      </c>
      <c r="Y69" s="26">
        <f t="shared" si="118"/>
        <v>479816.50773600006</v>
      </c>
      <c r="Z69" s="26">
        <f t="shared" si="118"/>
        <v>2128391.276358</v>
      </c>
      <c r="AB69" s="25">
        <f>SUM(AB65:AB68)</f>
        <v>246697</v>
      </c>
      <c r="AC69" s="25">
        <f>SUM(AC65:AC68)</f>
        <v>204257</v>
      </c>
      <c r="AD69" s="25">
        <f t="shared" ref="AD69:AF69" si="119">SUM(AD65:AD68)</f>
        <v>479816.50773600006</v>
      </c>
      <c r="AE69" s="25">
        <f t="shared" si="119"/>
        <v>59881</v>
      </c>
      <c r="AF69" s="25">
        <f t="shared" si="119"/>
        <v>990651.507736</v>
      </c>
      <c r="AH69" s="23">
        <f>SUM(AH65:AH68)</f>
        <v>820510.53499999992</v>
      </c>
      <c r="AI69" s="23">
        <f t="shared" ref="AI69:AL69" si="120">SUM(AI65:AI68)</f>
        <v>377110.23362200003</v>
      </c>
      <c r="AJ69" s="23">
        <f t="shared" si="120"/>
        <v>0</v>
      </c>
      <c r="AK69" s="23">
        <f t="shared" si="120"/>
        <v>-59881</v>
      </c>
      <c r="AL69" s="23">
        <f t="shared" si="120"/>
        <v>1137739.7686219998</v>
      </c>
      <c r="AM69" s="3"/>
      <c r="AN69" s="3"/>
    </row>
    <row r="70" spans="1:40" ht="15" customHeight="1" thickTop="1" x14ac:dyDescent="0.2">
      <c r="R70" s="31"/>
    </row>
    <row r="71" spans="1:40" ht="15" customHeight="1" x14ac:dyDescent="0.2">
      <c r="E71" s="22"/>
      <c r="I71" s="22"/>
      <c r="R71" s="31"/>
    </row>
    <row r="72" spans="1:40" ht="15" customHeight="1" x14ac:dyDescent="0.2">
      <c r="R72" s="31"/>
      <c r="AB72" s="348"/>
    </row>
    <row r="73" spans="1:40" ht="15" customHeight="1" x14ac:dyDescent="0.2">
      <c r="R73" s="31"/>
      <c r="AB73" s="348"/>
    </row>
    <row r="74" spans="1:40" ht="15" customHeight="1" x14ac:dyDescent="0.2">
      <c r="R74" s="31"/>
      <c r="AB74" s="348"/>
    </row>
    <row r="75" spans="1:40" ht="15" customHeight="1" x14ac:dyDescent="0.2">
      <c r="R75" s="31"/>
    </row>
    <row r="76" spans="1:40" ht="15" customHeight="1" x14ac:dyDescent="0.2">
      <c r="R76" s="31"/>
    </row>
    <row r="77" spans="1:40" ht="15" customHeight="1" x14ac:dyDescent="0.2">
      <c r="R77" s="31"/>
    </row>
    <row r="78" spans="1:40" ht="15" customHeight="1" x14ac:dyDescent="0.2">
      <c r="R78" s="31"/>
    </row>
    <row r="79" spans="1:40" ht="15" customHeight="1" x14ac:dyDescent="0.2">
      <c r="R79" s="31"/>
    </row>
    <row r="80" spans="1:40" ht="15" customHeight="1" x14ac:dyDescent="0.2">
      <c r="R80" s="31"/>
    </row>
    <row r="81" spans="18:18" ht="15" customHeight="1" x14ac:dyDescent="0.2">
      <c r="R81" s="31"/>
    </row>
    <row r="82" spans="18:18" ht="15" customHeight="1" x14ac:dyDescent="0.2">
      <c r="R82" s="31"/>
    </row>
    <row r="83" spans="18:18" ht="15" customHeight="1" x14ac:dyDescent="0.2">
      <c r="R83" s="31"/>
    </row>
    <row r="84" spans="18:18" ht="15" customHeight="1" x14ac:dyDescent="0.2">
      <c r="R84" s="31"/>
    </row>
    <row r="85" spans="18:18" ht="15" customHeight="1" x14ac:dyDescent="0.2">
      <c r="R85" s="31"/>
    </row>
    <row r="86" spans="18:18" ht="15" customHeight="1" x14ac:dyDescent="0.2">
      <c r="R86" s="31"/>
    </row>
    <row r="87" spans="18:18" ht="15" customHeight="1" x14ac:dyDescent="0.2">
      <c r="R87" s="31"/>
    </row>
    <row r="88" spans="18:18" ht="15" customHeight="1" x14ac:dyDescent="0.2">
      <c r="R88" s="31"/>
    </row>
    <row r="89" spans="18:18" ht="15" customHeight="1" x14ac:dyDescent="0.2">
      <c r="R89" s="31"/>
    </row>
    <row r="90" spans="18:18" ht="15" customHeight="1" x14ac:dyDescent="0.2">
      <c r="R90" s="31"/>
    </row>
    <row r="91" spans="18:18" ht="15" customHeight="1" x14ac:dyDescent="0.2">
      <c r="R91" s="31"/>
    </row>
    <row r="92" spans="18:18" ht="15" customHeight="1" x14ac:dyDescent="0.2">
      <c r="R92" s="31"/>
    </row>
    <row r="93" spans="18:18" ht="15" customHeight="1" x14ac:dyDescent="0.2">
      <c r="R93" s="31"/>
    </row>
    <row r="94" spans="18:18" ht="15" customHeight="1" x14ac:dyDescent="0.2">
      <c r="R94" s="31"/>
    </row>
    <row r="95" spans="18:18" ht="15" customHeight="1" x14ac:dyDescent="0.2">
      <c r="R95" s="31"/>
    </row>
    <row r="96" spans="18:18" ht="15" customHeight="1" x14ac:dyDescent="0.2">
      <c r="R96" s="31"/>
    </row>
    <row r="97" spans="18:18" ht="15" customHeight="1" x14ac:dyDescent="0.2">
      <c r="R97" s="31"/>
    </row>
    <row r="98" spans="18:18" ht="15" customHeight="1" x14ac:dyDescent="0.2">
      <c r="R98" s="31"/>
    </row>
    <row r="99" spans="18:18" ht="15" customHeight="1" x14ac:dyDescent="0.2">
      <c r="R99" s="31"/>
    </row>
    <row r="100" spans="18:18" ht="15" customHeight="1" x14ac:dyDescent="0.2">
      <c r="R100" s="31"/>
    </row>
    <row r="101" spans="18:18" ht="15" customHeight="1" x14ac:dyDescent="0.2">
      <c r="R101" s="31"/>
    </row>
    <row r="102" spans="18:18" ht="15" customHeight="1" x14ac:dyDescent="0.2">
      <c r="R102" s="31"/>
    </row>
    <row r="103" spans="18:18" ht="15" customHeight="1" x14ac:dyDescent="0.2">
      <c r="R103" s="31"/>
    </row>
    <row r="104" spans="18:18" ht="15" customHeight="1" x14ac:dyDescent="0.2">
      <c r="R104" s="31"/>
    </row>
    <row r="105" spans="18:18" ht="15" customHeight="1" x14ac:dyDescent="0.2">
      <c r="R105" s="31"/>
    </row>
    <row r="106" spans="18:18" ht="15" customHeight="1" x14ac:dyDescent="0.2">
      <c r="R106" s="31"/>
    </row>
    <row r="107" spans="18:18" ht="15" customHeight="1" x14ac:dyDescent="0.2">
      <c r="R107" s="31"/>
    </row>
    <row r="108" spans="18:18" ht="15" customHeight="1" x14ac:dyDescent="0.2">
      <c r="R108" s="31"/>
    </row>
    <row r="109" spans="18:18" ht="15" customHeight="1" x14ac:dyDescent="0.2">
      <c r="R109" s="31"/>
    </row>
    <row r="110" spans="18:18" ht="15" customHeight="1" x14ac:dyDescent="0.2">
      <c r="R110" s="31"/>
    </row>
    <row r="111" spans="18:18" ht="15" customHeight="1" x14ac:dyDescent="0.2">
      <c r="R111" s="31"/>
    </row>
    <row r="112" spans="18:18" ht="15" customHeight="1" x14ac:dyDescent="0.2">
      <c r="R112" s="31"/>
    </row>
    <row r="113" spans="18:18" ht="15" customHeight="1" x14ac:dyDescent="0.2">
      <c r="R113" s="31"/>
    </row>
    <row r="114" spans="18:18" ht="15" customHeight="1" x14ac:dyDescent="0.2">
      <c r="R114" s="31"/>
    </row>
    <row r="115" spans="18:18" ht="15" customHeight="1" x14ac:dyDescent="0.2">
      <c r="R115" s="31"/>
    </row>
    <row r="116" spans="18:18" ht="15" customHeight="1" x14ac:dyDescent="0.2">
      <c r="R116" s="31"/>
    </row>
    <row r="117" spans="18:18" ht="15" customHeight="1" x14ac:dyDescent="0.2">
      <c r="R117" s="31"/>
    </row>
    <row r="118" spans="18:18" ht="15" customHeight="1" x14ac:dyDescent="0.2">
      <c r="R118" s="31"/>
    </row>
    <row r="119" spans="18:18" ht="15" customHeight="1" x14ac:dyDescent="0.2">
      <c r="R119" s="31"/>
    </row>
    <row r="120" spans="18:18" ht="15" customHeight="1" x14ac:dyDescent="0.2">
      <c r="R120" s="31"/>
    </row>
    <row r="121" spans="18:18" ht="15" customHeight="1" x14ac:dyDescent="0.2">
      <c r="R121" s="31"/>
    </row>
    <row r="122" spans="18:18" ht="15" customHeight="1" x14ac:dyDescent="0.2">
      <c r="R122" s="31"/>
    </row>
  </sheetData>
  <autoFilter ref="A3:AL53"/>
  <mergeCells count="82">
    <mergeCell ref="AI23:AI25"/>
    <mergeCell ref="AJ23:AJ25"/>
    <mergeCell ref="AK23:AK25"/>
    <mergeCell ref="AL23:AL25"/>
    <mergeCell ref="AI21:AI22"/>
    <mergeCell ref="AJ21:AJ22"/>
    <mergeCell ref="AK21:AK22"/>
    <mergeCell ref="AL21:AL22"/>
    <mergeCell ref="AB23:AB25"/>
    <mergeCell ref="AJ26:AJ27"/>
    <mergeCell ref="AK26:AK27"/>
    <mergeCell ref="AL26:AL27"/>
    <mergeCell ref="AD26:AD27"/>
    <mergeCell ref="AE26:AE27"/>
    <mergeCell ref="AF26:AF27"/>
    <mergeCell ref="AH26:AH27"/>
    <mergeCell ref="AI26:AI27"/>
    <mergeCell ref="AB26:AB27"/>
    <mergeCell ref="AC26:AC27"/>
    <mergeCell ref="AC23:AC25"/>
    <mergeCell ref="AD23:AD25"/>
    <mergeCell ref="AE23:AE25"/>
    <mergeCell ref="AF23:AF25"/>
    <mergeCell ref="AH23:AH25"/>
    <mergeCell ref="A23:A25"/>
    <mergeCell ref="B23:B25"/>
    <mergeCell ref="E23:E25"/>
    <mergeCell ref="A26:A27"/>
    <mergeCell ref="B26:B27"/>
    <mergeCell ref="E26:E27"/>
    <mergeCell ref="N26:N27"/>
    <mergeCell ref="O26:O27"/>
    <mergeCell ref="X26:X27"/>
    <mergeCell ref="Y26:Y27"/>
    <mergeCell ref="Z26:Z27"/>
    <mergeCell ref="P26:P27"/>
    <mergeCell ref="Q26:Q27"/>
    <mergeCell ref="S26:S27"/>
    <mergeCell ref="U26:U27"/>
    <mergeCell ref="W26:W27"/>
    <mergeCell ref="F2:H2"/>
    <mergeCell ref="J2:L2"/>
    <mergeCell ref="AB2:AF2"/>
    <mergeCell ref="AH2:AL2"/>
    <mergeCell ref="A21:A22"/>
    <mergeCell ref="N21:N22"/>
    <mergeCell ref="O21:O22"/>
    <mergeCell ref="P21:P22"/>
    <mergeCell ref="Q21:Q22"/>
    <mergeCell ref="S21:S22"/>
    <mergeCell ref="U21:U22"/>
    <mergeCell ref="W21:W22"/>
    <mergeCell ref="X21:X22"/>
    <mergeCell ref="Y21:Y22"/>
    <mergeCell ref="Z21:Z22"/>
    <mergeCell ref="AB21:AB22"/>
    <mergeCell ref="B21:B22"/>
    <mergeCell ref="E21:E22"/>
    <mergeCell ref="F21:F22"/>
    <mergeCell ref="G21:G22"/>
    <mergeCell ref="H21:H22"/>
    <mergeCell ref="AC21:AC22"/>
    <mergeCell ref="AD21:AD22"/>
    <mergeCell ref="AE21:AE22"/>
    <mergeCell ref="AF21:AF22"/>
    <mergeCell ref="AH21:AH22"/>
    <mergeCell ref="S23:S25"/>
    <mergeCell ref="F61:H61"/>
    <mergeCell ref="J61:L61"/>
    <mergeCell ref="AB61:AF61"/>
    <mergeCell ref="AH61:AL61"/>
    <mergeCell ref="AB57:AF57"/>
    <mergeCell ref="N23:N25"/>
    <mergeCell ref="O23:O25"/>
    <mergeCell ref="P23:P25"/>
    <mergeCell ref="Q23:Q25"/>
    <mergeCell ref="R23:R25"/>
    <mergeCell ref="U23:U25"/>
    <mergeCell ref="W23:W25"/>
    <mergeCell ref="X23:X25"/>
    <mergeCell ref="Y23:Y25"/>
    <mergeCell ref="Z23:Z25"/>
  </mergeCells>
  <hyperlinks>
    <hyperlink ref="H8" r:id="rId1"/>
    <hyperlink ref="H6" r:id="rId2"/>
    <hyperlink ref="H21" r:id="rId3"/>
    <hyperlink ref="H11" r:id="rId4"/>
    <hyperlink ref="H12" r:id="rId5"/>
    <hyperlink ref="H14" r:id="rId6"/>
    <hyperlink ref="H15" r:id="rId7"/>
    <hyperlink ref="H17" r:id="rId8"/>
    <hyperlink ref="H18" r:id="rId9"/>
    <hyperlink ref="H29" r:id="rId10"/>
    <hyperlink ref="H30" r:id="rId11"/>
    <hyperlink ref="H42" r:id="rId12"/>
    <hyperlink ref="H49" r:id="rId13"/>
    <hyperlink ref="H50" r:id="rId14"/>
    <hyperlink ref="H51" r:id="rId15"/>
    <hyperlink ref="H32" r:id="rId16"/>
    <hyperlink ref="L32" r:id="rId17"/>
    <hyperlink ref="L51" r:id="rId18"/>
    <hyperlink ref="L8" r:id="rId19"/>
    <hyperlink ref="L6" r:id="rId20"/>
    <hyperlink ref="L11" r:id="rId21"/>
    <hyperlink ref="L12" r:id="rId22"/>
    <hyperlink ref="L14" r:id="rId23"/>
    <hyperlink ref="L15" r:id="rId24"/>
    <hyperlink ref="L17" r:id="rId25"/>
    <hyperlink ref="L18" r:id="rId26"/>
    <hyperlink ref="L29" r:id="rId27"/>
    <hyperlink ref="L30" r:id="rId28"/>
    <hyperlink ref="L42" r:id="rId29"/>
    <hyperlink ref="L49" r:id="rId30"/>
    <hyperlink ref="L50" r:id="rId31"/>
    <hyperlink ref="H41" r:id="rId32"/>
    <hyperlink ref="L41" r:id="rId33"/>
    <hyperlink ref="H23" r:id="rId34"/>
    <hyperlink ref="H9" r:id="rId35"/>
    <hyperlink ref="L36" r:id="rId36"/>
    <hyperlink ref="L23" r:id="rId37"/>
    <hyperlink ref="L9" r:id="rId38"/>
    <hyperlink ref="H36" r:id="rId39"/>
    <hyperlink ref="L21" r:id="rId40"/>
    <hyperlink ref="L22" r:id="rId41"/>
    <hyperlink ref="H24" r:id="rId42"/>
    <hyperlink ref="L24" r:id="rId43"/>
    <hyperlink ref="L33" r:id="rId44"/>
    <hyperlink ref="H19" r:id="rId45"/>
    <hyperlink ref="L19" r:id="rId46"/>
    <hyperlink ref="H40" r:id="rId47"/>
    <hyperlink ref="L40" r:id="rId48"/>
    <hyperlink ref="L5" r:id="rId49"/>
    <hyperlink ref="H5" r:id="rId50"/>
    <hyperlink ref="L53" r:id="rId51"/>
    <hyperlink ref="H53" r:id="rId52"/>
    <hyperlink ref="H7" r:id="rId53"/>
    <hyperlink ref="L7" r:id="rId54"/>
    <hyperlink ref="H10" r:id="rId55"/>
    <hyperlink ref="L10" r:id="rId56"/>
    <hyperlink ref="L48" r:id="rId57"/>
    <hyperlink ref="H48" r:id="rId58"/>
    <hyperlink ref="H47" r:id="rId59"/>
    <hyperlink ref="L47" r:id="rId60"/>
    <hyperlink ref="L65" r:id="rId61"/>
    <hyperlink ref="L66" r:id="rId62"/>
    <hyperlink ref="H66" r:id="rId63"/>
    <hyperlink ref="H65" r:id="rId64"/>
    <hyperlink ref="L37" r:id="rId65"/>
    <hyperlink ref="H37" r:id="rId66"/>
    <hyperlink ref="L45" r:id="rId67"/>
    <hyperlink ref="H45" r:id="rId68"/>
    <hyperlink ref="H26" r:id="rId69"/>
    <hyperlink ref="L26" r:id="rId70"/>
    <hyperlink ref="H43" r:id="rId71"/>
    <hyperlink ref="L43" r:id="rId72"/>
    <hyperlink ref="L25" r:id="rId73"/>
    <hyperlink ref="H25" r:id="rId74"/>
    <hyperlink ref="H67" r:id="rId75"/>
    <hyperlink ref="L67" r:id="rId76"/>
    <hyperlink ref="L34" r:id="rId77"/>
    <hyperlink ref="L28" r:id="rId78"/>
    <hyperlink ref="H33" r:id="rId79"/>
    <hyperlink ref="H34" r:id="rId80"/>
    <hyperlink ref="L39" r:id="rId81"/>
    <hyperlink ref="H39" r:id="rId82"/>
    <hyperlink ref="L16" r:id="rId83"/>
    <hyperlink ref="L13" r:id="rId84"/>
    <hyperlink ref="L44" r:id="rId85"/>
    <hyperlink ref="L38" r:id="rId86"/>
    <hyperlink ref="H16" r:id="rId87"/>
    <hyperlink ref="H13" r:id="rId88"/>
    <hyperlink ref="H44" r:id="rId89"/>
    <hyperlink ref="H38" r:id="rId90"/>
  </hyperlinks>
  <pageMargins left="0.17" right="0.17" top="0.25" bottom="0.25" header="0" footer="0"/>
  <pageSetup paperSize="17" scale="45" fitToHeight="0" orientation="landscape" r:id="rId91"/>
  <ignoredErrors>
    <ignoredError sqref="Y15" formula="1"/>
    <ignoredError sqref="G3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22 with notes (tax year 2021</vt:lpstr>
      <vt:lpstr>'FY 22 with notes (tax year 2021'!Print_Area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Brouner, Lee</dc:creator>
  <cp:lastModifiedBy>Cannon, Shelia</cp:lastModifiedBy>
  <cp:lastPrinted>2019-10-15T18:36:57Z</cp:lastPrinted>
  <dcterms:created xsi:type="dcterms:W3CDTF">2015-03-25T18:15:22Z</dcterms:created>
  <dcterms:modified xsi:type="dcterms:W3CDTF">2022-02-21T15:38:16Z</dcterms:modified>
</cp:coreProperties>
</file>