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hcdc\finance\OfficeFiles\PILOT Agreements\PILOT Agreements - Annual Spreadsheets\"/>
    </mc:Choice>
  </mc:AlternateContent>
  <xr:revisionPtr revIDLastSave="0" documentId="13_ncr:1_{AD4EE004-F461-483D-84B0-5CC98D4EA2B0}" xr6:coauthVersionLast="36" xr6:coauthVersionMax="47" xr10:uidLastSave="{00000000-0000-0000-0000-000000000000}"/>
  <bookViews>
    <workbookView xWindow="23880" yWindow="-120" windowWidth="24240" windowHeight="13140" xr2:uid="{00000000-000D-0000-FFFF-FFFF00000000}"/>
  </bookViews>
  <sheets>
    <sheet name="FY 24 with notes (tax year 2023" sheetId="9" r:id="rId1"/>
  </sheets>
  <definedNames>
    <definedName name="_xlnm._FilterDatabase" localSheetId="0" hidden="1">'FY 24 with notes (tax year 2023'!$A$3:$AL$52</definedName>
    <definedName name="_xlnm.Print_Area" localSheetId="0">'FY 24 with notes (tax year 2023'!$A$1:$AL$69</definedName>
  </definedNames>
  <calcPr calcId="191029"/>
</workbook>
</file>

<file path=xl/calcChain.xml><?xml version="1.0" encoding="utf-8"?>
<calcChain xmlns="http://schemas.openxmlformats.org/spreadsheetml/2006/main">
  <c r="AO67" i="9" l="1"/>
  <c r="AO65" i="9"/>
  <c r="AO66" i="9"/>
  <c r="AC66" i="9"/>
  <c r="AC65" i="9" l="1"/>
  <c r="AC64" i="9"/>
  <c r="AC63" i="9"/>
  <c r="AC62" i="9"/>
  <c r="AK9" i="9"/>
  <c r="Y9" i="9"/>
  <c r="AJ9" i="9" s="1"/>
  <c r="W9" i="9"/>
  <c r="AH9" i="9" s="1"/>
  <c r="Y31" i="9"/>
  <c r="W31" i="9"/>
  <c r="U8" i="9" l="1"/>
  <c r="U16" i="9"/>
  <c r="W16" i="9" s="1"/>
  <c r="U14" i="9" l="1"/>
  <c r="U46" i="9" l="1"/>
  <c r="U15" i="9"/>
  <c r="U29" i="9"/>
  <c r="U47" i="9"/>
  <c r="U48" i="9"/>
  <c r="U49" i="9"/>
  <c r="U52" i="9"/>
  <c r="U44" i="9"/>
  <c r="AC10" i="9"/>
  <c r="AB10" i="9"/>
  <c r="U10" i="9"/>
  <c r="U42" i="9"/>
  <c r="U25" i="9"/>
  <c r="U34" i="9"/>
  <c r="W34" i="9" s="1"/>
  <c r="U33" i="9"/>
  <c r="W33" i="9" s="1"/>
  <c r="U41" i="9"/>
  <c r="U7" i="9"/>
  <c r="U22" i="9"/>
  <c r="AC20" i="9"/>
  <c r="AB20" i="9"/>
  <c r="U20" i="9"/>
  <c r="U40" i="9"/>
  <c r="U6" i="9"/>
  <c r="U39" i="9"/>
  <c r="U5" i="9"/>
  <c r="U38" i="9"/>
  <c r="X1" i="9"/>
  <c r="U36" i="9"/>
  <c r="U37" i="9"/>
  <c r="X39" i="9" l="1"/>
  <c r="AD49" i="9"/>
  <c r="X9" i="9"/>
  <c r="X31" i="9"/>
  <c r="Z31" i="9" s="1"/>
  <c r="Y39" i="9"/>
  <c r="AD39" i="9" s="1"/>
  <c r="AF39" i="9" s="1"/>
  <c r="AC48" i="9"/>
  <c r="X15" i="9"/>
  <c r="AE15" i="9" s="1"/>
  <c r="W15" i="9"/>
  <c r="W39" i="9"/>
  <c r="AC49" i="9"/>
  <c r="Y15" i="9"/>
  <c r="AD48" i="9"/>
  <c r="AJ39" i="9"/>
  <c r="AB66" i="9"/>
  <c r="AB65" i="9"/>
  <c r="Z15" i="9" l="1"/>
  <c r="AI9" i="9"/>
  <c r="Z9" i="9"/>
  <c r="AL9" i="9" s="1"/>
  <c r="Z39" i="9"/>
  <c r="AL39" i="9" s="1"/>
  <c r="AH39" i="9"/>
  <c r="W66" i="9" l="1"/>
  <c r="Y66" i="9"/>
  <c r="W65" i="9"/>
  <c r="Y65" i="9"/>
  <c r="AB63" i="9"/>
  <c r="AD65" i="9"/>
  <c r="AD66" i="9"/>
  <c r="AJ66" i="9" l="1"/>
  <c r="AJ65" i="9"/>
  <c r="AH65" i="9"/>
  <c r="AH66" i="9"/>
  <c r="W12" i="9" l="1"/>
  <c r="AB12" i="9" s="1"/>
  <c r="Y12" i="9" l="1"/>
  <c r="AD12" i="9" s="1"/>
  <c r="AJ12" i="9" s="1"/>
  <c r="AH12" i="9"/>
  <c r="S28" i="9" l="1"/>
  <c r="W28" i="9"/>
  <c r="AB28" i="9" s="1"/>
  <c r="Y28" i="9"/>
  <c r="AD28" i="9" s="1"/>
  <c r="AJ28" i="9" s="1"/>
  <c r="AK28" i="9"/>
  <c r="AH28" i="9" l="1"/>
  <c r="AK38" i="9" l="1"/>
  <c r="Y38" i="9"/>
  <c r="AD38" i="9" l="1"/>
  <c r="AF38" i="9" s="1"/>
  <c r="W38" i="9"/>
  <c r="AJ38" i="9" l="1"/>
  <c r="AH38" i="9"/>
  <c r="AB64" i="9" l="1"/>
  <c r="AB62" i="9"/>
  <c r="AK34" i="9" l="1"/>
  <c r="AH15" i="9"/>
  <c r="AI15" i="9"/>
  <c r="AK15" i="9"/>
  <c r="AD15" i="9"/>
  <c r="AJ15" i="9" s="1"/>
  <c r="Y34" i="9"/>
  <c r="AD34" i="9" s="1"/>
  <c r="AF34" i="9" s="1"/>
  <c r="AB33" i="9"/>
  <c r="X28" i="9" l="1"/>
  <c r="X65" i="9"/>
  <c r="X66" i="9"/>
  <c r="X12" i="9"/>
  <c r="AC12" i="9" s="1"/>
  <c r="AC28" i="9"/>
  <c r="AF28" i="9" s="1"/>
  <c r="Z28" i="9"/>
  <c r="X38" i="9"/>
  <c r="AF15" i="9"/>
  <c r="AL15" i="9" s="1"/>
  <c r="AJ34" i="9"/>
  <c r="AH34" i="9"/>
  <c r="X34" i="9"/>
  <c r="AI34" i="9" s="1"/>
  <c r="W37" i="9"/>
  <c r="AI28" i="9" l="1"/>
  <c r="AL28" i="9"/>
  <c r="AI66" i="9"/>
  <c r="AE66" i="9" s="1"/>
  <c r="Z66" i="9"/>
  <c r="AE12" i="9"/>
  <c r="AI12" i="9"/>
  <c r="Z12" i="9"/>
  <c r="Z65" i="9"/>
  <c r="AI65" i="9"/>
  <c r="AE65" i="9" s="1"/>
  <c r="AI38" i="9"/>
  <c r="Z38" i="9"/>
  <c r="AL38" i="9" s="1"/>
  <c r="Z34" i="9"/>
  <c r="AL34" i="9" s="1"/>
  <c r="AK66" i="9" l="1"/>
  <c r="AF66" i="9"/>
  <c r="AL66" i="9" s="1"/>
  <c r="AK65" i="9"/>
  <c r="AF65" i="9"/>
  <c r="AL65" i="9" s="1"/>
  <c r="AF12" i="9"/>
  <c r="AL12" i="9" s="1"/>
  <c r="AK12" i="9"/>
  <c r="AE26" i="9"/>
  <c r="AK40" i="9"/>
  <c r="AO17" i="9" l="1"/>
  <c r="AO26" i="9"/>
  <c r="W62" i="9" l="1"/>
  <c r="AD64" i="9" l="1"/>
  <c r="Y64" i="9"/>
  <c r="W64" i="9"/>
  <c r="AK42" i="9"/>
  <c r="Y42" i="9"/>
  <c r="AD42" i="9" s="1"/>
  <c r="AF42" i="9" s="1"/>
  <c r="W42" i="9"/>
  <c r="AJ64" i="9" l="1"/>
  <c r="AH64" i="9"/>
  <c r="AJ42" i="9"/>
  <c r="AH42" i="9"/>
  <c r="AK44" i="9" l="1"/>
  <c r="W44" i="9"/>
  <c r="W8" i="9"/>
  <c r="AB8" i="9" l="1"/>
  <c r="Y44" i="9"/>
  <c r="AH44" i="9"/>
  <c r="Y8" i="9"/>
  <c r="AD8" i="9" s="1"/>
  <c r="P22" i="9"/>
  <c r="S22" i="9"/>
  <c r="AD44" i="9" l="1"/>
  <c r="AF44" i="9" s="1"/>
  <c r="AC69" i="9"/>
  <c r="AJ44" i="9" l="1"/>
  <c r="AB69" i="9"/>
  <c r="AD63" i="9"/>
  <c r="AD62" i="9"/>
  <c r="AD69" i="9" l="1"/>
  <c r="Y63" i="9"/>
  <c r="AJ63" i="9" s="1"/>
  <c r="W63" i="9"/>
  <c r="AH63" i="9" l="1"/>
  <c r="AJ8" i="9"/>
  <c r="AH8" i="9"/>
  <c r="AF52" i="9" l="1"/>
  <c r="AK52" i="9"/>
  <c r="W7" i="9" l="1"/>
  <c r="Y7" i="9"/>
  <c r="AB7" i="9" l="1"/>
  <c r="AD7" i="9"/>
  <c r="AJ7" i="9" s="1"/>
  <c r="AH7" i="9"/>
  <c r="Y52" i="9"/>
  <c r="AJ52" i="9" s="1"/>
  <c r="W52" i="9"/>
  <c r="AH52" i="9" l="1"/>
  <c r="AB37" i="9" l="1"/>
  <c r="AH37" i="9" s="1"/>
  <c r="AK37" i="9"/>
  <c r="Y37" i="9"/>
  <c r="AD37" i="9" l="1"/>
  <c r="AJ37" i="9" s="1"/>
  <c r="W25" i="9" l="1"/>
  <c r="AB25" i="9" l="1"/>
  <c r="AH25" i="9"/>
  <c r="Y25" i="9"/>
  <c r="AD25" i="9" l="1"/>
  <c r="AJ25" i="9" s="1"/>
  <c r="AH33" i="9"/>
  <c r="Y33" i="9"/>
  <c r="W6" i="9"/>
  <c r="AB6" i="9" l="1"/>
  <c r="Y6" i="9"/>
  <c r="AD33" i="9"/>
  <c r="Y62" i="9"/>
  <c r="W69" i="9" l="1"/>
  <c r="AH62" i="9"/>
  <c r="Y69" i="9"/>
  <c r="AJ62" i="9"/>
  <c r="AJ33" i="9"/>
  <c r="Y18" i="9"/>
  <c r="W18" i="9"/>
  <c r="AB18" i="9" l="1"/>
  <c r="AE18" i="9"/>
  <c r="AJ69" i="9"/>
  <c r="AK18" i="9"/>
  <c r="AH18" i="9"/>
  <c r="AH69" i="9"/>
  <c r="AD18" i="9"/>
  <c r="AJ18" i="9" s="1"/>
  <c r="AK46" i="9"/>
  <c r="Y46" i="9"/>
  <c r="AD46" i="9" s="1"/>
  <c r="AF46" i="9" s="1"/>
  <c r="W46" i="9"/>
  <c r="AH46" i="9" s="1"/>
  <c r="AJ46" i="9" l="1"/>
  <c r="Y22" i="9"/>
  <c r="W22" i="9"/>
  <c r="AB22" i="9" l="1"/>
  <c r="AH22" i="9" s="1"/>
  <c r="AD22" i="9"/>
  <c r="AK36" i="9"/>
  <c r="W36" i="9"/>
  <c r="AH36" i="9" s="1"/>
  <c r="Y36" i="9"/>
  <c r="X64" i="9" l="1"/>
  <c r="X42" i="9"/>
  <c r="X44" i="9"/>
  <c r="X8" i="9"/>
  <c r="AC8" i="9" s="1"/>
  <c r="X63" i="9"/>
  <c r="X7" i="9"/>
  <c r="AE7" i="9" s="1"/>
  <c r="X52" i="9"/>
  <c r="X37" i="9"/>
  <c r="X25" i="9"/>
  <c r="AD36" i="9"/>
  <c r="AF36" i="9" s="1"/>
  <c r="X33" i="9"/>
  <c r="X62" i="9"/>
  <c r="X18" i="9"/>
  <c r="AC18" i="9" s="1"/>
  <c r="X36" i="9"/>
  <c r="AI36" i="9" s="1"/>
  <c r="X46" i="9"/>
  <c r="X22" i="9"/>
  <c r="AE22" i="9" s="1"/>
  <c r="AJ22" i="9"/>
  <c r="AC33" i="9" l="1"/>
  <c r="AI33" i="9" s="1"/>
  <c r="AE33" i="9"/>
  <c r="AK33" i="9" s="1"/>
  <c r="AE8" i="9"/>
  <c r="AC25" i="9"/>
  <c r="AE25" i="9"/>
  <c r="AK25" i="9" s="1"/>
  <c r="AI8" i="9"/>
  <c r="AC7" i="9"/>
  <c r="AK7" i="9"/>
  <c r="AI64" i="9"/>
  <c r="AE64" i="9" s="1"/>
  <c r="Z64" i="9"/>
  <c r="AI42" i="9"/>
  <c r="Z42" i="9"/>
  <c r="AL42" i="9" s="1"/>
  <c r="AO8" i="9"/>
  <c r="AO33" i="9"/>
  <c r="AO22" i="9"/>
  <c r="AC22" i="9"/>
  <c r="AI22" i="9" s="1"/>
  <c r="AO7" i="9"/>
  <c r="AO6" i="9"/>
  <c r="AO25" i="9"/>
  <c r="AI44" i="9"/>
  <c r="Z44" i="9"/>
  <c r="AL44" i="9" s="1"/>
  <c r="AK22" i="9"/>
  <c r="Z8" i="9"/>
  <c r="Z25" i="9"/>
  <c r="Z37" i="9"/>
  <c r="AC37" i="9"/>
  <c r="AF37" i="9" s="1"/>
  <c r="Z7" i="9"/>
  <c r="AI52" i="9"/>
  <c r="Z52" i="9"/>
  <c r="AL52" i="9" s="1"/>
  <c r="AI63" i="9"/>
  <c r="AE63" i="9" s="1"/>
  <c r="Z63" i="9"/>
  <c r="Z62" i="9"/>
  <c r="AI62" i="9"/>
  <c r="AE62" i="9" s="1"/>
  <c r="X69" i="9"/>
  <c r="AF18" i="9"/>
  <c r="Z18" i="9"/>
  <c r="Z36" i="9"/>
  <c r="AL36" i="9" s="1"/>
  <c r="Z33" i="9"/>
  <c r="AJ36" i="9"/>
  <c r="Z22" i="9"/>
  <c r="AI46" i="9"/>
  <c r="Z46" i="9"/>
  <c r="AL46" i="9" s="1"/>
  <c r="W47" i="9"/>
  <c r="AK47" i="9"/>
  <c r="AO63" i="9" l="1"/>
  <c r="AF64" i="9"/>
  <c r="AL64" i="9" s="1"/>
  <c r="AO64" i="9"/>
  <c r="AO62" i="9"/>
  <c r="AF7" i="9"/>
  <c r="AL7" i="9" s="1"/>
  <c r="AF33" i="9"/>
  <c r="AL33" i="9" s="1"/>
  <c r="AF8" i="9"/>
  <c r="AL8" i="9" s="1"/>
  <c r="AK8" i="9"/>
  <c r="AL37" i="9"/>
  <c r="AI7" i="9"/>
  <c r="Z69" i="9"/>
  <c r="AI37" i="9"/>
  <c r="AF22" i="9"/>
  <c r="AL22" i="9" s="1"/>
  <c r="AI25" i="9"/>
  <c r="AF25" i="9"/>
  <c r="AL25" i="9" s="1"/>
  <c r="AI69" i="9"/>
  <c r="AN69" i="9" s="1"/>
  <c r="AL18" i="9"/>
  <c r="AI18" i="9"/>
  <c r="AH47" i="9"/>
  <c r="Y47" i="9"/>
  <c r="AD47" i="9" s="1"/>
  <c r="AF47" i="9" s="1"/>
  <c r="AK5" i="9"/>
  <c r="Y5" i="9"/>
  <c r="AO69" i="9" l="1"/>
  <c r="AE69" i="9"/>
  <c r="AK64" i="9"/>
  <c r="AK63" i="9"/>
  <c r="AF63" i="9"/>
  <c r="AL63" i="9" s="1"/>
  <c r="AF62" i="9"/>
  <c r="AK62" i="9"/>
  <c r="AJ47" i="9"/>
  <c r="AD5" i="9"/>
  <c r="AJ5" i="9" s="1"/>
  <c r="W5" i="9"/>
  <c r="AF69" i="9" l="1"/>
  <c r="AK69" i="9"/>
  <c r="AL62" i="9"/>
  <c r="AL69" i="9" s="1"/>
  <c r="AB5" i="9"/>
  <c r="AH5" i="9" l="1"/>
  <c r="Y40" i="9" l="1"/>
  <c r="W40" i="9"/>
  <c r="AH40" i="9" s="1"/>
  <c r="AD40" i="9" l="1"/>
  <c r="AF40" i="9" s="1"/>
  <c r="AK50" i="9"/>
  <c r="AK49" i="9"/>
  <c r="AB49" i="9"/>
  <c r="Y49" i="9"/>
  <c r="AJ49" i="9" s="1"/>
  <c r="AK48" i="9"/>
  <c r="AK41" i="9"/>
  <c r="Y41" i="9"/>
  <c r="AD41" i="9" s="1"/>
  <c r="W41" i="9"/>
  <c r="AH41" i="9" s="1"/>
  <c r="AK29" i="9"/>
  <c r="Y29" i="9"/>
  <c r="AD29" i="9" s="1"/>
  <c r="AF29" i="9" s="1"/>
  <c r="S29" i="9"/>
  <c r="AK20" i="9"/>
  <c r="W20" i="9"/>
  <c r="AK17" i="9"/>
  <c r="AJ17" i="9"/>
  <c r="AI17" i="9"/>
  <c r="AH17" i="9"/>
  <c r="AF17" i="9"/>
  <c r="Z17" i="9"/>
  <c r="AK16" i="9"/>
  <c r="AK13" i="9"/>
  <c r="Y13" i="9"/>
  <c r="AD13" i="9" s="1"/>
  <c r="AF13" i="9" s="1"/>
  <c r="W13" i="9"/>
  <c r="AH13" i="9" s="1"/>
  <c r="AK11" i="9"/>
  <c r="Y11" i="9"/>
  <c r="AD11" i="9" s="1"/>
  <c r="W11" i="9"/>
  <c r="Y10" i="9"/>
  <c r="AD10" i="9" s="1"/>
  <c r="P6" i="9"/>
  <c r="X47" i="9"/>
  <c r="AJ40" i="9" l="1"/>
  <c r="AI47" i="9"/>
  <c r="Z47" i="9"/>
  <c r="AL47" i="9" s="1"/>
  <c r="X6" i="9"/>
  <c r="AE6" i="9" s="1"/>
  <c r="X41" i="9"/>
  <c r="Z41" i="9" s="1"/>
  <c r="X5" i="9"/>
  <c r="AL17" i="9"/>
  <c r="AJ41" i="9"/>
  <c r="AF48" i="9"/>
  <c r="X48" i="9"/>
  <c r="AI48" i="9" s="1"/>
  <c r="X20" i="9"/>
  <c r="AI20" i="9" s="1"/>
  <c r="AF41" i="9"/>
  <c r="Y20" i="9"/>
  <c r="AD20" i="9" s="1"/>
  <c r="AF20" i="9" s="1"/>
  <c r="X11" i="9"/>
  <c r="Z11" i="9" s="1"/>
  <c r="X14" i="9"/>
  <c r="AC14" i="9" s="1"/>
  <c r="Y14" i="9"/>
  <c r="AF49" i="9"/>
  <c r="W10" i="9"/>
  <c r="X13" i="9"/>
  <c r="AI13" i="9" s="1"/>
  <c r="AD6" i="9"/>
  <c r="Y48" i="9"/>
  <c r="AJ48" i="9" s="1"/>
  <c r="X40" i="9"/>
  <c r="AJ13" i="9"/>
  <c r="AH20" i="9"/>
  <c r="Y16" i="9"/>
  <c r="X16" i="9"/>
  <c r="AI16" i="9" s="1"/>
  <c r="W50" i="9"/>
  <c r="AB50" i="9" s="1"/>
  <c r="Y50" i="9"/>
  <c r="AD50" i="9" s="1"/>
  <c r="X50" i="9"/>
  <c r="AC50" i="9" s="1"/>
  <c r="AH16" i="9"/>
  <c r="AJ11" i="9"/>
  <c r="W29" i="9"/>
  <c r="AJ29" i="9"/>
  <c r="X29" i="9"/>
  <c r="AI29" i="9" s="1"/>
  <c r="AJ10" i="9"/>
  <c r="AB11" i="9"/>
  <c r="W49" i="9"/>
  <c r="X49" i="9"/>
  <c r="AI49" i="9" s="1"/>
  <c r="X10" i="9"/>
  <c r="AO10" i="9" s="1"/>
  <c r="W14" i="9"/>
  <c r="AB14" i="9" s="1"/>
  <c r="W48" i="9"/>
  <c r="AI50" i="9" l="1"/>
  <c r="AF50" i="9"/>
  <c r="AC6" i="9"/>
  <c r="AK6" i="9"/>
  <c r="AO54" i="9"/>
  <c r="AK14" i="9"/>
  <c r="Z40" i="9"/>
  <c r="AL40" i="9" s="1"/>
  <c r="AI40" i="9"/>
  <c r="AD14" i="9"/>
  <c r="AJ14" i="9" s="1"/>
  <c r="AI14" i="9"/>
  <c r="AH10" i="9"/>
  <c r="AE10" i="9"/>
  <c r="AC11" i="9"/>
  <c r="AI11" i="9" s="1"/>
  <c r="AN14" i="9"/>
  <c r="AC5" i="9"/>
  <c r="Z5" i="9"/>
  <c r="AL41" i="9"/>
  <c r="AJ20" i="9"/>
  <c r="Z20" i="9"/>
  <c r="AL20" i="9" s="1"/>
  <c r="AI41" i="9"/>
  <c r="Z13" i="9"/>
  <c r="AL13" i="9" s="1"/>
  <c r="W54" i="9"/>
  <c r="Z16" i="9"/>
  <c r="Y54" i="9"/>
  <c r="X54" i="9"/>
  <c r="Z14" i="9"/>
  <c r="AI10" i="9"/>
  <c r="AN10" i="9" s="1"/>
  <c r="Z10" i="9"/>
  <c r="Z49" i="9"/>
  <c r="AL49" i="9" s="1"/>
  <c r="AH49" i="9"/>
  <c r="AJ6" i="9"/>
  <c r="AH48" i="9"/>
  <c r="Z48" i="9"/>
  <c r="AL48" i="9" s="1"/>
  <c r="AF16" i="9"/>
  <c r="AH11" i="9"/>
  <c r="AH6" i="9"/>
  <c r="Z6" i="9"/>
  <c r="AH29" i="9"/>
  <c r="Z29" i="9"/>
  <c r="AL29" i="9" s="1"/>
  <c r="AH50" i="9"/>
  <c r="Z50" i="9"/>
  <c r="AL50" i="9" l="1"/>
  <c r="AJ50" i="9"/>
  <c r="AF6" i="9"/>
  <c r="AL6" i="9" s="1"/>
  <c r="AF10" i="9"/>
  <c r="AL10" i="9" s="1"/>
  <c r="AK10" i="9"/>
  <c r="AE54" i="9"/>
  <c r="AI6" i="9"/>
  <c r="AF11" i="9"/>
  <c r="AL11" i="9" s="1"/>
  <c r="AF14" i="9"/>
  <c r="AL14" i="9" s="1"/>
  <c r="AC54" i="9"/>
  <c r="AI5" i="9"/>
  <c r="AF5" i="9"/>
  <c r="AL5" i="9" s="1"/>
  <c r="AL16" i="9"/>
  <c r="Z54" i="9"/>
  <c r="AB54" i="9"/>
  <c r="AD54" i="9"/>
  <c r="AJ16" i="9"/>
  <c r="AJ54" i="9" s="1"/>
  <c r="AH14" i="9"/>
  <c r="AK54" i="9" l="1"/>
  <c r="AI54" i="9"/>
  <c r="AN54" i="9" s="1"/>
  <c r="AH54" i="9"/>
  <c r="AF54" i="9"/>
  <c r="AL5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Cannon, Shelia</author>
  </authors>
  <commentList>
    <comment ref="AB7" authorId="0" shapeId="0" xr:uid="{00000000-0006-0000-0000-000001000000}">
      <text>
        <r>
          <rPr>
            <sz val="8"/>
            <color indexed="81"/>
            <rFont val="Tahoma"/>
            <family val="2"/>
          </rPr>
          <t>City will bill separately</t>
        </r>
      </text>
    </comment>
    <comment ref="AE7" authorId="0" shapeId="0" xr:uid="{00000000-0006-0000-0000-000002000000}">
      <text>
        <r>
          <rPr>
            <sz val="8"/>
            <color indexed="81"/>
            <rFont val="Tahoma"/>
            <family val="2"/>
          </rPr>
          <t xml:space="preserve">City will bill their portion separately (15%)
County portion (12.53%) </t>
        </r>
      </text>
    </comment>
    <comment ref="AO7" authorId="0" shapeId="0" xr:uid="{00000000-0006-0000-0000-000003000000}">
      <text>
        <r>
          <rPr>
            <sz val="8"/>
            <color indexed="81"/>
            <rFont val="Tahoma"/>
            <family val="2"/>
          </rPr>
          <t>City will bill their portion separately (15%) This is County portion</t>
        </r>
      </text>
    </comment>
    <comment ref="AB8" authorId="0" shapeId="0" xr:uid="{00000000-0006-0000-0000-000004000000}">
      <text>
        <r>
          <rPr>
            <sz val="8"/>
            <color indexed="81"/>
            <rFont val="Tahoma"/>
            <family val="2"/>
          </rPr>
          <t>City will bill separately</t>
        </r>
      </text>
    </comment>
    <comment ref="AC8" authorId="0" shapeId="0" xr:uid="{00000000-0006-0000-0000-000005000000}">
      <text>
        <r>
          <rPr>
            <b/>
            <sz val="9"/>
            <color indexed="81"/>
            <rFont val="Tahoma"/>
            <charset val="1"/>
          </rPr>
          <t>Cannon, Shelia:</t>
        </r>
        <r>
          <rPr>
            <sz val="9"/>
            <color indexed="81"/>
            <rFont val="Tahoma"/>
            <charset val="1"/>
          </rPr>
          <t xml:space="preserve">
Updated to include Additional 29.6% because HomeServe failed to meet their Minimum Investment Requirement</t>
        </r>
      </text>
    </comment>
    <comment ref="AE8" authorId="0" shapeId="0" xr:uid="{00000000-0006-0000-0000-000006000000}">
      <text>
        <r>
          <rPr>
            <sz val="8"/>
            <color indexed="81"/>
            <rFont val="Tahoma"/>
            <family val="2"/>
          </rPr>
          <t xml:space="preserve">City will bill their portion separately (15%)
County portion (12.53%) 
</t>
        </r>
      </text>
    </comment>
    <comment ref="AO8" authorId="0" shapeId="0" xr:uid="{00000000-0006-0000-0000-000007000000}">
      <text>
        <r>
          <rPr>
            <sz val="8"/>
            <color indexed="81"/>
            <rFont val="Tahoma"/>
            <family val="2"/>
          </rPr>
          <t>City will bill their portion separately (15%)
County portion (12.53%) is $9,132.08; City portion (15%) is $9,002.10</t>
        </r>
      </text>
    </comment>
  </commentList>
</comments>
</file>

<file path=xl/sharedStrings.xml><?xml version="1.0" encoding="utf-8"?>
<sst xmlns="http://schemas.openxmlformats.org/spreadsheetml/2006/main" count="367" uniqueCount="234">
  <si>
    <t>Company Name</t>
  </si>
  <si>
    <t>Jobs Commitment</t>
  </si>
  <si>
    <t xml:space="preserve">Average Wage </t>
  </si>
  <si>
    <t>All Tax Abated Properties Addresses</t>
  </si>
  <si>
    <t>Agreement Investment Notes</t>
  </si>
  <si>
    <t>Resolution Date</t>
  </si>
  <si>
    <t xml:space="preserve">Year Beginning </t>
  </si>
  <si>
    <t>Year Ending</t>
  </si>
  <si>
    <t>Primary Address Lat</t>
  </si>
  <si>
    <t>Primary Address Long</t>
  </si>
  <si>
    <t>N/A</t>
  </si>
  <si>
    <t>Olan Mills Drive</t>
  </si>
  <si>
    <t>3063 Hickory Valley Rd</t>
  </si>
  <si>
    <t>PLASTIC OMNIUM AUTO EXTERIORS, LLC</t>
  </si>
  <si>
    <t>3241 Hickory Valley Rd</t>
  </si>
  <si>
    <t>PROVIDENT/UNUM PROVIDENT CORP.</t>
  </si>
  <si>
    <t>473 Walnut St</t>
  </si>
  <si>
    <t>Compress St, 3480 Amnicola, 625 Hulsey</t>
  </si>
  <si>
    <t>WM WRIGLEY JR CO</t>
  </si>
  <si>
    <t>3002 Jersey Pike</t>
  </si>
  <si>
    <t>RIVERCITY CO - MAJESTIC 12 THEATER</t>
  </si>
  <si>
    <t>311 Broad St</t>
  </si>
  <si>
    <t>VOLKSWAGEN GROUP OF AMERICA INC</t>
  </si>
  <si>
    <t>8001 Volkswagen Dr &amp; Discovery Dr</t>
  </si>
  <si>
    <t>UTC TWO LLC</t>
  </si>
  <si>
    <t>Lindsay St &amp; 615 Lindsay St</t>
  </si>
  <si>
    <t>UTC THREE LLC</t>
  </si>
  <si>
    <t>863 McCallie Ave</t>
  </si>
  <si>
    <t>WALNUT COMMONS LLC</t>
  </si>
  <si>
    <t>212 Walnut St</t>
  </si>
  <si>
    <t>Assessment on PILOT Properties</t>
  </si>
  <si>
    <t>Property Tax without PILOT Agreement</t>
  </si>
  <si>
    <t>City Taxes</t>
  </si>
  <si>
    <t>County General Tax</t>
  </si>
  <si>
    <t>County School Tax</t>
  </si>
  <si>
    <t>VOLKSWAGEN GROUP OF AMERICA INC - 2014</t>
  </si>
  <si>
    <t>Total Tax - w/o PILOT</t>
  </si>
  <si>
    <t>Net Cost of PILOT</t>
  </si>
  <si>
    <t>City</t>
  </si>
  <si>
    <t>County General Government</t>
  </si>
  <si>
    <t>County Schools</t>
  </si>
  <si>
    <t>Total Cost of PILOT</t>
  </si>
  <si>
    <t>City Council Approval</t>
  </si>
  <si>
    <t>County Commission Approval</t>
  </si>
  <si>
    <t>INDUSTRIAL DEVELOPMENT BOARD OF CHATTANOOGA</t>
  </si>
  <si>
    <t>HEALTH, EDUCATION AND HOUSING FACILITIES BOARD</t>
  </si>
  <si>
    <t>INDUSTRIAL DEVELOPMENT BOARD OF HAMILTON COUNTY</t>
  </si>
  <si>
    <t>302-41A</t>
  </si>
  <si>
    <t>614-19</t>
  </si>
  <si>
    <t>309-37</t>
  </si>
  <si>
    <t>1008-27</t>
  </si>
  <si>
    <t>1214-8</t>
  </si>
  <si>
    <t>SOUTHERN CHAMPION TRAY 2014</t>
  </si>
  <si>
    <t>Resolution</t>
  </si>
  <si>
    <t>1212-20</t>
  </si>
  <si>
    <t>1212-21</t>
  </si>
  <si>
    <t>1108-43</t>
  </si>
  <si>
    <t>1010-8</t>
  </si>
  <si>
    <t>1006-36</t>
  </si>
  <si>
    <t>714-31</t>
  </si>
  <si>
    <t>State Map No.</t>
  </si>
  <si>
    <t>135M-E-001</t>
  </si>
  <si>
    <t>135NB-A-003</t>
  </si>
  <si>
    <t>130-008.18, 24; Per 036767, Per 042026</t>
  </si>
  <si>
    <t>138I-A-002.01; Per 404153</t>
  </si>
  <si>
    <t>314-25</t>
  </si>
  <si>
    <t>Bill for Payments in Lieu of Taxes</t>
  </si>
  <si>
    <t>Total In Lieu of Taxes</t>
  </si>
  <si>
    <t>8002 Volkswagen Dr &amp; Discovery Dr</t>
  </si>
  <si>
    <t>Economic Dev. Fee</t>
  </si>
  <si>
    <t>Link to Resolution</t>
  </si>
  <si>
    <t>View</t>
  </si>
  <si>
    <t>COCA-COLA BOTTLING COMPANY UNITED</t>
  </si>
  <si>
    <t>McKEE FOODS (City of Collegedale)</t>
  </si>
  <si>
    <t>215-37</t>
  </si>
  <si>
    <t>515-28</t>
  </si>
  <si>
    <t>GESTAMP NORTH AMERICA, INC</t>
  </si>
  <si>
    <t>715-15</t>
  </si>
  <si>
    <t>GESTAMP CHATTANOOGA LLC (07/2010)</t>
  </si>
  <si>
    <t>UTC FIVE, LLC</t>
  </si>
  <si>
    <t>500 Lindsay Street</t>
  </si>
  <si>
    <t>HERITAGE-MACLELLAN APARTMENTS, LLC</t>
  </si>
  <si>
    <t>Agreement Notes</t>
  </si>
  <si>
    <t>Must reserve at least 20% of available units for lower income persons</t>
  </si>
  <si>
    <t>90 apts contemplated plus retail space; must reserve at least 20% of available units for lower income persons</t>
  </si>
  <si>
    <t>64 units contemplated; must reserve at least 20% of available units for lower income persons</t>
  </si>
  <si>
    <t>715-16</t>
  </si>
  <si>
    <t>715-17</t>
  </si>
  <si>
    <t>710-4</t>
  </si>
  <si>
    <t>1109-52</t>
  </si>
  <si>
    <t>1015-20</t>
  </si>
  <si>
    <t>added 4120 Jersey Pike Property</t>
  </si>
  <si>
    <t>10260 McKee Drive and 10638 Apison Pike</t>
  </si>
  <si>
    <t>1015-54</t>
  </si>
  <si>
    <t>130-001-.33; Per 046992</t>
  </si>
  <si>
    <t>145D-B-008, 012; Per 045379</t>
  </si>
  <si>
    <t>146H-E-001; Per 045380</t>
  </si>
  <si>
    <t>127L-A-022.01; 023; 135F-A-005; 003; Per 046890</t>
  </si>
  <si>
    <t>YANFENG US AUTOMOTIVE INTERIOR SYSTEMS I LLC PROJECT</t>
  </si>
  <si>
    <t>116-27</t>
  </si>
  <si>
    <t>ECG CHESTNUT, LP</t>
  </si>
  <si>
    <t>2108 Chestnut Street</t>
  </si>
  <si>
    <t>1116-3</t>
  </si>
  <si>
    <t>174 one and two bedroom units for low income housing</t>
  </si>
  <si>
    <t>138O-B-001.03; Per 047001</t>
  </si>
  <si>
    <t>135M-G-008; Per 048858</t>
  </si>
  <si>
    <t>135M-B-008 L001; Per 043664</t>
  </si>
  <si>
    <t>721 Broad Street</t>
  </si>
  <si>
    <t>1216-31</t>
  </si>
  <si>
    <t>STANDARD COOSA LOFTS, LLC</t>
  </si>
  <si>
    <t>1216-8</t>
  </si>
  <si>
    <t>500 W. MLK Blvd</t>
  </si>
  <si>
    <t>100% of dwelling units will be for lower income households</t>
  </si>
  <si>
    <t>Investment Commitment</t>
  </si>
  <si>
    <t>CHATTANOOGA HOUSING AUTHORITY</t>
  </si>
  <si>
    <t>Renovation of Jaycee Towers for low to moderate income elderly tenants.</t>
  </si>
  <si>
    <t>BLUE CROSS BLUE SHIELD OF TN INC</t>
  </si>
  <si>
    <t>1 &amp; 23 Cameron Hill Cir &amp; 505 E MLK Blvd</t>
  </si>
  <si>
    <t>135N-B-005, 005.01, 005.02; Per 031074</t>
  </si>
  <si>
    <t>305-34</t>
  </si>
  <si>
    <t>HOMESERVE USA CORP</t>
  </si>
  <si>
    <t>517-30</t>
  </si>
  <si>
    <t>TSO CHATTANOOGA DEVELOPMENT, LP</t>
  </si>
  <si>
    <t>700 Market Street</t>
  </si>
  <si>
    <t>815-19</t>
  </si>
  <si>
    <t>145F-J-003; Per 048861</t>
  </si>
  <si>
    <t>145DA-D-010; Per 048428</t>
  </si>
  <si>
    <t>Per 050278</t>
  </si>
  <si>
    <t>7463 Bonnyshire Drive</t>
  </si>
  <si>
    <t>TAX INCREMENT FINANCING (TIF) AGREEMENTS</t>
  </si>
  <si>
    <t>Black Creek Mountain</t>
  </si>
  <si>
    <t>Martin Luther King Extension</t>
  </si>
  <si>
    <t>Development of associated Black Creek Mountain property</t>
  </si>
  <si>
    <t>Assessment on TIF Properties</t>
  </si>
  <si>
    <t>Property Tax without TIF Agreement</t>
  </si>
  <si>
    <t>Net Cost of TIF</t>
  </si>
  <si>
    <t xml:space="preserve">Total </t>
  </si>
  <si>
    <t>612-27</t>
  </si>
  <si>
    <t>318-14</t>
  </si>
  <si>
    <t>1217-30</t>
  </si>
  <si>
    <t>ALCO WOODLAWN PARTNERS, LP   (BAYBERRY APARTMENTS DEVELOPMENT)</t>
  </si>
  <si>
    <t>2300 Wilson Street; 1101 Arlington Avenue and 2300 Windsor Street</t>
  </si>
  <si>
    <t>RIDGEWAY HOUSING PARTNERS, L.P.</t>
  </si>
  <si>
    <t>1018-4</t>
  </si>
  <si>
    <t>1230 Poplar Street</t>
  </si>
  <si>
    <t>120 one, two and three bedroom units, multifamily, low income housing tax credit apartment project</t>
  </si>
  <si>
    <t xml:space="preserve">130-001.25; Per 038692;       </t>
  </si>
  <si>
    <t>145CB-A-005; Per 051475</t>
  </si>
  <si>
    <t>141-033 L000; Per 10052016</t>
  </si>
  <si>
    <t>M&amp;M INDUSTRIES, INC</t>
  </si>
  <si>
    <t>1435 East 14th Street and 316 Corporate Place</t>
  </si>
  <si>
    <t>1117-27</t>
  </si>
  <si>
    <t>RIVERVIEW HOUSING ASSOCIATES, L.P.  (JAYCEE TOWER)</t>
  </si>
  <si>
    <t>GESTAMP CHATTANOOGA LLC (II)</t>
  </si>
  <si>
    <t>145C-B-007; Per 10052783</t>
  </si>
  <si>
    <t>130-001.34; Per 048704</t>
  </si>
  <si>
    <t>130-001.26; 138I-A-003;        Per 049271; Per 048703</t>
  </si>
  <si>
    <t>PATTEN AFFORDABLE PARTNERS, LP</t>
  </si>
  <si>
    <t>119-16</t>
  </si>
  <si>
    <t>1 East 11th Street</t>
  </si>
  <si>
    <t>43 new and 270 retained jobs</t>
  </si>
  <si>
    <t>City will receive Stormwater Fee, and HCDE will receive 100% of School tax due less City Stormwater Fee.</t>
  </si>
  <si>
    <t xml:space="preserve"> Minimum jobs requirement - 260</t>
  </si>
  <si>
    <t>Admin. Fee</t>
  </si>
  <si>
    <t>1700 &amp; 1800 South Watkins Street</t>
  </si>
  <si>
    <t xml:space="preserve">Property Tax retained by City and County </t>
  </si>
  <si>
    <t>Total Tax - w/o TIF</t>
  </si>
  <si>
    <t>Total Cost of TIF</t>
  </si>
  <si>
    <t>319-14</t>
  </si>
  <si>
    <t>Amended and restated agreement 03/20/19 adds an additional 150 jobs by 2023 and and additional $48M in expansion of facility</t>
  </si>
  <si>
    <t>139P-C-007; Per 10054783</t>
  </si>
  <si>
    <t>145F-A-005; Per 10054385</t>
  </si>
  <si>
    <t>138I-A-002.01</t>
  </si>
  <si>
    <t>MA 1400 CHESTNUT LLC</t>
  </si>
  <si>
    <t>East Chattanooga Rising (Tubman)</t>
  </si>
  <si>
    <t>1219-27</t>
  </si>
  <si>
    <t>Proceeds from TIF toward infrastructure and road impr. - approx. $4 million plus interest</t>
  </si>
  <si>
    <t>(Co budget purposes)</t>
  </si>
  <si>
    <t>320-25</t>
  </si>
  <si>
    <t>10261 McKee Drive and 10638 Apison Pike</t>
  </si>
  <si>
    <t>Expansion of facilities</t>
  </si>
  <si>
    <t>146O-C-001 L000;                154-009.09L000;                  Per 10053579; Per 10053580</t>
  </si>
  <si>
    <t>SOUTHERN CHAMPION TRAY 2020</t>
  </si>
  <si>
    <t>820-26</t>
  </si>
  <si>
    <t>CHATTANOOGA NEIGHBORHOOD ENTERPRISE, INC  MAI BELL 2 RESIDENTIAL PROJECT</t>
  </si>
  <si>
    <t>1715 Union Avenue</t>
  </si>
  <si>
    <t>321-14</t>
  </si>
  <si>
    <t>146D-A-001; 146D-A-009;  146D-D-003; Per 10051748</t>
  </si>
  <si>
    <t>140-172 L000; Per 10058089</t>
  </si>
  <si>
    <t>1121-33</t>
  </si>
  <si>
    <t>STEAM LOGISTICS</t>
  </si>
  <si>
    <t>721-6</t>
  </si>
  <si>
    <t>PUREGRAPHITE LLC / NOVONIX LLC</t>
  </si>
  <si>
    <t>RESERVE AT MOUNTAIN PASS</t>
  </si>
  <si>
    <t>421-30</t>
  </si>
  <si>
    <t>4905 Central Avenue</t>
  </si>
  <si>
    <t>240 units</t>
  </si>
  <si>
    <t>47 units</t>
  </si>
  <si>
    <t>APP BATTERY PARTNERS, LLLP</t>
  </si>
  <si>
    <t>3401 Campbell Street</t>
  </si>
  <si>
    <t>1220-33</t>
  </si>
  <si>
    <t>142 one, two &amp; three bedroom units</t>
  </si>
  <si>
    <t>South Broad District</t>
  </si>
  <si>
    <t>North River Commerce Center</t>
  </si>
  <si>
    <t>822-24</t>
  </si>
  <si>
    <t>722-34</t>
  </si>
  <si>
    <t>128P-N-003; Per 10060864</t>
  </si>
  <si>
    <t>145D-X-007; Per 10055812</t>
  </si>
  <si>
    <t>Capped at $3.5 million for MLK extension plus $1.7 million for carried interest, fees, etc.</t>
  </si>
  <si>
    <t xml:space="preserve">Primarily to pay debt service associated with Sports Authority debt to be incurred for construction of Lookouts baseball stadium </t>
  </si>
  <si>
    <t>Infrastructure improvements up to $23.5 million for development of new industrial park</t>
  </si>
  <si>
    <t>20 year time period beginning upon completion of capital improvements on each respective parcel(s)</t>
  </si>
  <si>
    <t>30 year time period beginning upon completion of capital improvements on each respective parcel(s)</t>
  </si>
  <si>
    <t>Projected investment of at least $350,000,000</t>
  </si>
  <si>
    <t>Projected investment of $106,000,000</t>
  </si>
  <si>
    <t>125 residential rental units plus retail and office space and parking structure, must reserve at least 20% of available units for lower income persons</t>
  </si>
  <si>
    <t>146J-P-010; Per 10063234</t>
  </si>
  <si>
    <t>2023 City taxes billed</t>
  </si>
  <si>
    <t>2023 County taxes billed</t>
  </si>
  <si>
    <t>2023 School taxes billed</t>
  </si>
  <si>
    <t xml:space="preserve">2023 City </t>
  </si>
  <si>
    <t>2023 County</t>
  </si>
  <si>
    <t>2023 School</t>
  </si>
  <si>
    <t>135MA-A-003; Per 10063235</t>
  </si>
  <si>
    <t>325 Market Street</t>
  </si>
  <si>
    <t>TEXTILE PRINTING COMPANY</t>
  </si>
  <si>
    <t>423-26</t>
  </si>
  <si>
    <t>KORDSA, INC</t>
  </si>
  <si>
    <t>523-21</t>
  </si>
  <si>
    <t>Bend Development Project</t>
  </si>
  <si>
    <t>1123-4</t>
  </si>
  <si>
    <t>TIF proceeds used for Infrastructure improvements up to $100 million for development of approx. 90 acres for mixed-use development, plus certain public projects in downtown Chattanooga</t>
  </si>
  <si>
    <t>Projected investment of at least $4 billion in capital investment</t>
  </si>
  <si>
    <r>
      <rPr>
        <b/>
        <sz val="10"/>
        <rFont val="Arial"/>
        <family val="2"/>
      </rPr>
      <t>NOTE:</t>
    </r>
    <r>
      <rPr>
        <sz val="10"/>
        <rFont val="Arial"/>
        <family val="2"/>
      </rPr>
      <t xml:space="preserve"> PILOT agreements for companies shaded in BLUE have been approved by each of the County and City legislative bodies, but the agreements have not become effective as of Tax Year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</si>
</sst>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41" formatCode="_(* #,##0_);_(* \(#,##0\);_(* &quot;-&quot;_);_(@_)"/>
    <numFmt numFmtId="44" formatCode="_(&quot;$&quot;* #,##0.00_);_(&quot;$&quot;* \(#,##0.00\);_(&quot;$&quot;* &quot;-&quot;??_);_(@_)"/>
    <numFmt numFmtId="43" formatCode="_(* #,##0.00_);_(* \(#,##0.00\);_(* &quot;-&quot;??_);_(@_)"/>
    <numFmt numFmtId="164" formatCode="&quot;$&quot;#,##0.00"/>
    <numFmt numFmtId="165" formatCode="_(* #,##0.0000_);_(* \(#,##0.0000\);_(* &quot;-&quot;_);_(@_)"/>
    <numFmt numFmtId="166" formatCode="_(* #,##0.0000_);_(* \(#,##0.0000\);_(* &quot;-&quot;??_);_(@_)"/>
    <numFmt numFmtId="167" formatCode="_(* #,##0_);_(* \(#,##0\);_(* &quot;-&quot;??_);_(@_)"/>
  </numFmts>
  <fonts count="26" x14ac:knownFonts="1">
    <font>
      <sz val="10"/>
      <name val="Arial"/>
    </font>
    <font>
      <b/>
      <sz val="10"/>
      <name val="Arial"/>
      <family val="2"/>
    </font>
    <font>
      <b/>
      <u/>
      <sz val="10"/>
      <name val="Arial"/>
      <family val="2"/>
    </font>
    <font>
      <b/>
      <u/>
      <sz val="10"/>
      <name val="Arial"/>
      <family val="2"/>
    </font>
    <font>
      <sz val="10"/>
      <color rgb="FF000000"/>
      <name val="Arial"/>
      <family val="2"/>
    </font>
    <font>
      <sz val="10"/>
      <name val="Arial"/>
      <family val="2"/>
    </font>
    <font>
      <b/>
      <u/>
      <sz val="10"/>
      <name val="Arial"/>
      <family val="2"/>
    </font>
    <font>
      <b/>
      <sz val="10"/>
      <name val="Arial"/>
      <family val="2"/>
    </font>
    <font>
      <i/>
      <sz val="10"/>
      <name val="Arial"/>
      <family val="2"/>
    </font>
    <font>
      <b/>
      <u/>
      <sz val="14"/>
      <name val="Arial"/>
      <family val="2"/>
    </font>
    <font>
      <u/>
      <sz val="10"/>
      <color theme="10"/>
      <name val="Arial"/>
      <family val="2"/>
    </font>
    <font>
      <b/>
      <sz val="10"/>
      <color rgb="FF000000"/>
      <name val="Arial"/>
      <family val="2"/>
    </font>
    <font>
      <u/>
      <sz val="10"/>
      <color theme="10"/>
      <name val="Arial"/>
      <family val="2"/>
    </font>
    <font>
      <sz val="9"/>
      <name val="Arial"/>
      <family val="2"/>
    </font>
    <font>
      <b/>
      <sz val="10"/>
      <color rgb="FFFF0000"/>
      <name val="Arial"/>
      <family val="2"/>
    </font>
    <font>
      <sz val="10"/>
      <name val="Arial"/>
      <family val="2"/>
    </font>
    <font>
      <sz val="8"/>
      <color indexed="81"/>
      <name val="Tahoma"/>
      <family val="2"/>
    </font>
    <font>
      <u/>
      <sz val="10"/>
      <color rgb="FFFF0000"/>
      <name val="Arial"/>
      <family val="2"/>
    </font>
    <font>
      <u/>
      <sz val="10"/>
      <name val="Arial"/>
      <family val="2"/>
    </font>
    <font>
      <sz val="10"/>
      <name val="Arial"/>
      <family val="2"/>
    </font>
    <font>
      <i/>
      <sz val="8"/>
      <name val="Arial"/>
      <family val="2"/>
    </font>
    <font>
      <b/>
      <i/>
      <u/>
      <sz val="8"/>
      <name val="Arial"/>
      <family val="2"/>
    </font>
    <font>
      <b/>
      <i/>
      <sz val="8"/>
      <color rgb="FF000000"/>
      <name val="Arial"/>
      <family val="2"/>
    </font>
    <font>
      <i/>
      <sz val="10"/>
      <color theme="0"/>
      <name val="Arial"/>
      <family val="2"/>
    </font>
    <font>
      <b/>
      <sz val="9"/>
      <color indexed="81"/>
      <name val="Tahoma"/>
      <charset val="1"/>
    </font>
    <font>
      <sz val="9"/>
      <color indexed="81"/>
      <name val="Tahoma"/>
      <charset val="1"/>
    </font>
  </fonts>
  <fills count="13">
    <fill>
      <patternFill patternType="none"/>
    </fill>
    <fill>
      <patternFill patternType="gray125"/>
    </fill>
    <fill>
      <patternFill patternType="solid">
        <fgColor rgb="FFF9CB9C"/>
        <bgColor rgb="FFF9CB9C"/>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79998168889431442"/>
        <bgColor rgb="FFFFD966"/>
      </patternFill>
    </fill>
    <fill>
      <patternFill patternType="solid">
        <fgColor theme="5" tint="0.79998168889431442"/>
        <bgColor rgb="FFF9CB9C"/>
      </patternFill>
    </fill>
    <fill>
      <patternFill patternType="solid">
        <fgColor theme="3" tint="0.79998168889431442"/>
        <bgColor indexed="64"/>
      </patternFill>
    </fill>
    <fill>
      <patternFill patternType="solid">
        <fgColor theme="3" tint="0.79998168889431442"/>
        <bgColor rgb="FFFFD966"/>
      </patternFill>
    </fill>
    <fill>
      <patternFill patternType="solid">
        <fgColor theme="3" tint="0.79998168889431442"/>
        <bgColor rgb="FFF9CB9C"/>
      </patternFill>
    </fill>
    <fill>
      <patternFill patternType="solid">
        <fgColor rgb="FFFF0000"/>
        <bgColor indexed="64"/>
      </patternFill>
    </fill>
    <fill>
      <patternFill patternType="solid">
        <fgColor theme="8" tint="0.59999389629810485"/>
        <bgColor indexed="64"/>
      </patternFill>
    </fill>
    <fill>
      <patternFill patternType="solid">
        <fgColor rgb="FFFFFF00"/>
        <bgColor indexed="64"/>
      </patternFill>
    </fill>
  </fills>
  <borders count="8">
    <border>
      <left/>
      <right/>
      <top/>
      <bottom/>
      <diagonal/>
    </border>
    <border>
      <left/>
      <right/>
      <top/>
      <bottom/>
      <diagonal/>
    </border>
    <border>
      <left/>
      <right/>
      <top/>
      <bottom style="medium">
        <color indexed="64"/>
      </bottom>
      <diagonal/>
    </border>
    <border>
      <left/>
      <right/>
      <top style="thin">
        <color indexed="64"/>
      </top>
      <bottom style="double">
        <color indexed="64"/>
      </bottom>
      <diagonal/>
    </border>
    <border>
      <left/>
      <right/>
      <top/>
      <bottom style="thin">
        <color indexed="64"/>
      </bottom>
      <diagonal/>
    </border>
    <border>
      <left/>
      <right/>
      <top/>
      <bottom style="dotted">
        <color auto="1"/>
      </bottom>
      <diagonal/>
    </border>
    <border>
      <left/>
      <right/>
      <top style="dotted">
        <color auto="1"/>
      </top>
      <bottom style="dotted">
        <color auto="1"/>
      </bottom>
      <diagonal/>
    </border>
    <border>
      <left/>
      <right/>
      <top style="dotted">
        <color auto="1"/>
      </top>
      <bottom/>
      <diagonal/>
    </border>
  </borders>
  <cellStyleXfs count="9">
    <xf numFmtId="0" fontId="0" fillId="0" borderId="0"/>
    <xf numFmtId="0" fontId="10" fillId="0" borderId="1" applyNumberFormat="0" applyFill="0" applyBorder="0" applyAlignment="0" applyProtection="0"/>
    <xf numFmtId="0" fontId="10" fillId="0" borderId="1" applyNumberFormat="0" applyFill="0" applyBorder="0" applyAlignment="0" applyProtection="0"/>
    <xf numFmtId="0" fontId="5" fillId="0" borderId="1"/>
    <xf numFmtId="0" fontId="12" fillId="0" borderId="0" applyNumberFormat="0" applyFill="0" applyBorder="0" applyAlignment="0" applyProtection="0"/>
    <xf numFmtId="44" fontId="15" fillId="0" borderId="0" applyFont="0" applyFill="0" applyBorder="0" applyAlignment="0" applyProtection="0"/>
    <xf numFmtId="0" fontId="15" fillId="0" borderId="1"/>
    <xf numFmtId="0" fontId="15" fillId="0" borderId="1"/>
    <xf numFmtId="9" fontId="19" fillId="0" borderId="0" applyFont="0" applyFill="0" applyBorder="0" applyAlignment="0" applyProtection="0"/>
  </cellStyleXfs>
  <cellXfs count="500">
    <xf numFmtId="0" fontId="0" fillId="0" borderId="0" xfId="0"/>
    <xf numFmtId="41" fontId="0" fillId="0" borderId="0" xfId="0" applyNumberFormat="1"/>
    <xf numFmtId="165" fontId="8" fillId="0" borderId="0" xfId="0" applyNumberFormat="1" applyFont="1" applyFill="1"/>
    <xf numFmtId="41" fontId="0" fillId="0" borderId="0" xfId="0" applyNumberFormat="1" applyFill="1"/>
    <xf numFmtId="165" fontId="8" fillId="0" borderId="1" xfId="0" applyNumberFormat="1" applyFont="1" applyFill="1" applyBorder="1"/>
    <xf numFmtId="41" fontId="7" fillId="0" borderId="1" xfId="0" applyNumberFormat="1" applyFont="1" applyFill="1" applyBorder="1" applyAlignment="1">
      <alignment horizontal="centerContinuous"/>
    </xf>
    <xf numFmtId="41" fontId="0" fillId="0" borderId="1" xfId="0" applyNumberFormat="1" applyFill="1" applyBorder="1"/>
    <xf numFmtId="41" fontId="7" fillId="3" borderId="2" xfId="0" applyNumberFormat="1" applyFont="1" applyFill="1" applyBorder="1" applyAlignment="1">
      <alignment horizontal="centerContinuous"/>
    </xf>
    <xf numFmtId="0" fontId="2" fillId="0" borderId="1" xfId="0" applyFont="1" applyBorder="1" applyAlignment="1">
      <alignment horizontal="center" wrapText="1"/>
    </xf>
    <xf numFmtId="41" fontId="2" fillId="0" borderId="1" xfId="0" applyNumberFormat="1" applyFont="1" applyBorder="1" applyAlignment="1">
      <alignment horizontal="center" wrapText="1"/>
    </xf>
    <xf numFmtId="41" fontId="2" fillId="3" borderId="1" xfId="0" applyNumberFormat="1" applyFont="1" applyFill="1" applyBorder="1" applyAlignment="1">
      <alignment horizontal="center" wrapText="1"/>
    </xf>
    <xf numFmtId="41" fontId="6" fillId="3" borderId="1" xfId="0" applyNumberFormat="1" applyFont="1" applyFill="1" applyBorder="1" applyAlignment="1">
      <alignment horizontal="center" wrapText="1"/>
    </xf>
    <xf numFmtId="41" fontId="2" fillId="0" borderId="1" xfId="0" applyNumberFormat="1" applyFont="1" applyFill="1" applyBorder="1" applyAlignment="1">
      <alignment horizontal="center" wrapText="1"/>
    </xf>
    <xf numFmtId="41" fontId="2" fillId="5" borderId="1" xfId="0" applyNumberFormat="1" applyFont="1" applyFill="1" applyBorder="1" applyAlignment="1">
      <alignment horizontal="center" wrapText="1"/>
    </xf>
    <xf numFmtId="14" fontId="2" fillId="0" borderId="1" xfId="0" applyNumberFormat="1" applyFont="1" applyBorder="1" applyAlignment="1">
      <alignment horizontal="center" wrapText="1"/>
    </xf>
    <xf numFmtId="0" fontId="0" fillId="0" borderId="0" xfId="0" applyAlignment="1">
      <alignment wrapText="1"/>
    </xf>
    <xf numFmtId="0" fontId="2" fillId="0" borderId="1" xfId="0" applyFont="1" applyFill="1" applyBorder="1" applyAlignment="1">
      <alignment horizontal="center" wrapText="1"/>
    </xf>
    <xf numFmtId="14" fontId="2" fillId="0" borderId="1" xfId="0" applyNumberFormat="1" applyFont="1" applyFill="1" applyBorder="1" applyAlignment="1">
      <alignment horizontal="center" wrapText="1"/>
    </xf>
    <xf numFmtId="41" fontId="6" fillId="0" borderId="1" xfId="0" applyNumberFormat="1" applyFont="1" applyFill="1" applyBorder="1" applyAlignment="1">
      <alignment horizontal="center" wrapText="1"/>
    </xf>
    <xf numFmtId="0" fontId="0" fillId="0" borderId="0" xfId="0" applyFill="1" applyAlignment="1">
      <alignment wrapText="1"/>
    </xf>
    <xf numFmtId="0" fontId="9" fillId="0" borderId="1" xfId="0" applyFont="1" applyFill="1" applyBorder="1" applyAlignment="1">
      <alignment horizontal="left"/>
    </xf>
    <xf numFmtId="41" fontId="2" fillId="8" borderId="1" xfId="0" applyNumberFormat="1" applyFont="1" applyFill="1" applyBorder="1" applyAlignment="1">
      <alignment horizontal="center" wrapText="1"/>
    </xf>
    <xf numFmtId="0" fontId="0" fillId="0" borderId="0" xfId="0" applyFill="1"/>
    <xf numFmtId="41" fontId="11" fillId="4" borderId="3" xfId="0" applyNumberFormat="1" applyFont="1" applyFill="1" applyBorder="1" applyAlignment="1">
      <alignment horizontal="center"/>
    </xf>
    <xf numFmtId="0" fontId="2" fillId="10" borderId="1" xfId="0" applyFont="1" applyFill="1" applyBorder="1" applyAlignment="1">
      <alignment horizontal="center" wrapText="1"/>
    </xf>
    <xf numFmtId="41" fontId="11" fillId="7" borderId="3" xfId="0" applyNumberFormat="1" applyFont="1" applyFill="1" applyBorder="1" applyAlignment="1">
      <alignment horizontal="center"/>
    </xf>
    <xf numFmtId="41" fontId="11" fillId="3" borderId="3" xfId="0" applyNumberFormat="1" applyFont="1" applyFill="1" applyBorder="1" applyAlignment="1">
      <alignment horizontal="center"/>
    </xf>
    <xf numFmtId="0" fontId="0" fillId="0" borderId="0" xfId="0" applyAlignment="1">
      <alignment horizontal="left"/>
    </xf>
    <xf numFmtId="0" fontId="2" fillId="0" borderId="1" xfId="0" applyFont="1" applyFill="1" applyBorder="1" applyAlignment="1">
      <alignment horizontal="left" wrapText="1"/>
    </xf>
    <xf numFmtId="0" fontId="0" fillId="0" borderId="0" xfId="0" applyFill="1" applyAlignment="1">
      <alignment horizontal="left"/>
    </xf>
    <xf numFmtId="5" fontId="2" fillId="0" borderId="1" xfId="0" applyNumberFormat="1" applyFont="1" applyFill="1" applyBorder="1" applyAlignment="1">
      <alignment horizontal="center" wrapText="1"/>
    </xf>
    <xf numFmtId="0" fontId="0" fillId="0" borderId="0" xfId="0" applyFill="1" applyAlignment="1">
      <alignment horizontal="left" wrapText="1"/>
    </xf>
    <xf numFmtId="5" fontId="0" fillId="0" borderId="0" xfId="0" applyNumberFormat="1" applyAlignment="1">
      <alignment horizontal="center"/>
    </xf>
    <xf numFmtId="5" fontId="0" fillId="0" borderId="0" xfId="0" applyNumberFormat="1" applyFill="1" applyAlignment="1">
      <alignment horizontal="center"/>
    </xf>
    <xf numFmtId="41" fontId="14" fillId="0" borderId="0" xfId="0" applyNumberFormat="1" applyFont="1" applyFill="1"/>
    <xf numFmtId="43" fontId="2" fillId="0" borderId="1" xfId="0" applyNumberFormat="1" applyFont="1" applyFill="1" applyBorder="1" applyAlignment="1">
      <alignment horizontal="center" wrapText="1"/>
    </xf>
    <xf numFmtId="41" fontId="1" fillId="0" borderId="1" xfId="0" applyNumberFormat="1" applyFont="1" applyFill="1" applyBorder="1" applyAlignment="1">
      <alignment horizontal="center"/>
    </xf>
    <xf numFmtId="0" fontId="0" fillId="0" borderId="0" xfId="0" applyFill="1" applyAlignment="1">
      <alignment horizontal="center"/>
    </xf>
    <xf numFmtId="41" fontId="0" fillId="0" borderId="1" xfId="0" applyNumberFormat="1" applyFill="1" applyBorder="1" applyAlignment="1">
      <alignment horizontal="center"/>
    </xf>
    <xf numFmtId="0" fontId="0" fillId="11" borderId="0" xfId="0" applyFill="1" applyAlignment="1"/>
    <xf numFmtId="0" fontId="5" fillId="0" borderId="5" xfId="0" applyFont="1" applyBorder="1" applyAlignment="1">
      <alignment horizontal="center" vertical="top"/>
    </xf>
    <xf numFmtId="0" fontId="5" fillId="0" borderId="5" xfId="0" applyFont="1" applyBorder="1" applyAlignment="1">
      <alignment horizontal="center" vertical="top" wrapText="1"/>
    </xf>
    <xf numFmtId="14" fontId="5" fillId="0" borderId="5" xfId="0" applyNumberFormat="1" applyFont="1" applyBorder="1" applyAlignment="1">
      <alignment horizontal="center" vertical="top"/>
    </xf>
    <xf numFmtId="0" fontId="5" fillId="0" borderId="0" xfId="0" applyFont="1" applyAlignment="1">
      <alignment vertical="top"/>
    </xf>
    <xf numFmtId="0" fontId="5" fillId="0" borderId="6" xfId="0" applyFont="1" applyFill="1" applyBorder="1" applyAlignment="1">
      <alignment vertical="top" wrapText="1"/>
    </xf>
    <xf numFmtId="0" fontId="5" fillId="0" borderId="6" xfId="0" applyFont="1" applyBorder="1" applyAlignment="1">
      <alignment vertical="top"/>
    </xf>
    <xf numFmtId="0" fontId="5" fillId="0" borderId="6" xfId="0" applyFont="1" applyBorder="1" applyAlignment="1">
      <alignment horizontal="center" vertical="top"/>
    </xf>
    <xf numFmtId="0" fontId="5" fillId="0" borderId="6" xfId="0" applyFont="1" applyBorder="1" applyAlignment="1">
      <alignment horizontal="center" vertical="top" wrapText="1"/>
    </xf>
    <xf numFmtId="14" fontId="5" fillId="0" borderId="6" xfId="0" applyNumberFormat="1" applyFont="1" applyBorder="1" applyAlignment="1">
      <alignment horizontal="center" vertical="top"/>
    </xf>
    <xf numFmtId="14" fontId="10" fillId="0" borderId="6" xfId="2" applyNumberFormat="1" applyBorder="1" applyAlignment="1">
      <alignment horizontal="center" vertical="top"/>
    </xf>
    <xf numFmtId="41" fontId="5" fillId="0" borderId="6" xfId="0" applyNumberFormat="1" applyFont="1" applyFill="1" applyBorder="1" applyAlignment="1">
      <alignment horizontal="center" vertical="top"/>
    </xf>
    <xf numFmtId="0" fontId="5" fillId="0" borderId="6" xfId="0" applyFont="1" applyFill="1" applyBorder="1" applyAlignment="1">
      <alignment horizontal="center" vertical="top"/>
    </xf>
    <xf numFmtId="5" fontId="5" fillId="0" borderId="6" xfId="0" applyNumberFormat="1" applyFont="1" applyFill="1" applyBorder="1" applyAlignment="1">
      <alignment horizontal="center" vertical="top" wrapText="1"/>
    </xf>
    <xf numFmtId="164" fontId="5" fillId="0" borderId="6" xfId="0" applyNumberFormat="1" applyFont="1" applyFill="1" applyBorder="1" applyAlignment="1">
      <alignment horizontal="left" vertical="top" wrapText="1"/>
    </xf>
    <xf numFmtId="41" fontId="5" fillId="0" borderId="6" xfId="0" applyNumberFormat="1" applyFont="1" applyBorder="1" applyAlignment="1">
      <alignment horizontal="center" vertical="top"/>
    </xf>
    <xf numFmtId="41" fontId="5" fillId="3" borderId="6" xfId="0" applyNumberFormat="1" applyFont="1" applyFill="1" applyBorder="1" applyAlignment="1">
      <alignment horizontal="center" vertical="top"/>
    </xf>
    <xf numFmtId="41" fontId="5" fillId="7"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0" fontId="5" fillId="0" borderId="6" xfId="0" applyFont="1" applyBorder="1" applyAlignment="1">
      <alignment horizontal="right" vertical="top" wrapText="1"/>
    </xf>
    <xf numFmtId="167" fontId="5" fillId="9" borderId="6" xfId="0" applyNumberFormat="1" applyFont="1" applyFill="1" applyBorder="1" applyAlignment="1">
      <alignment horizontal="center" vertical="top"/>
    </xf>
    <xf numFmtId="167" fontId="5" fillId="7" borderId="6" xfId="0" applyNumberFormat="1" applyFont="1" applyFill="1" applyBorder="1" applyAlignment="1">
      <alignment horizontal="center" vertical="top"/>
    </xf>
    <xf numFmtId="0" fontId="5" fillId="0" borderId="1" xfId="0" applyFont="1" applyFill="1" applyBorder="1" applyAlignment="1">
      <alignment vertical="top" wrapText="1"/>
    </xf>
    <xf numFmtId="0" fontId="5" fillId="0" borderId="1" xfId="0" applyFont="1" applyBorder="1" applyAlignment="1">
      <alignment vertical="top"/>
    </xf>
    <xf numFmtId="0" fontId="5" fillId="0" borderId="1" xfId="0" applyFont="1" applyBorder="1" applyAlignment="1">
      <alignment horizontal="center" vertical="top"/>
    </xf>
    <xf numFmtId="0" fontId="5" fillId="0" borderId="1" xfId="0" applyFont="1" applyBorder="1" applyAlignment="1">
      <alignment horizontal="center" vertical="top" wrapText="1"/>
    </xf>
    <xf numFmtId="14" fontId="5" fillId="0" borderId="1" xfId="0" applyNumberFormat="1" applyFont="1" applyBorder="1" applyAlignment="1">
      <alignment horizontal="center" vertical="top"/>
    </xf>
    <xf numFmtId="14" fontId="10" fillId="0" borderId="1" xfId="2" applyNumberFormat="1" applyBorder="1" applyAlignment="1">
      <alignment horizontal="center" vertical="top"/>
    </xf>
    <xf numFmtId="41" fontId="5" fillId="0" borderId="1" xfId="0" applyNumberFormat="1" applyFont="1" applyFill="1" applyBorder="1" applyAlignment="1">
      <alignment horizontal="center" vertical="top"/>
    </xf>
    <xf numFmtId="0" fontId="4" fillId="0" borderId="1" xfId="0" applyFont="1" applyBorder="1" applyAlignment="1">
      <alignment horizontal="center" vertical="top"/>
    </xf>
    <xf numFmtId="14" fontId="4" fillId="0" borderId="1" xfId="0" applyNumberFormat="1" applyFont="1" applyBorder="1" applyAlignment="1">
      <alignment horizontal="center" vertical="top"/>
    </xf>
    <xf numFmtId="14" fontId="10" fillId="0" borderId="1" xfId="2" applyNumberFormat="1" applyFill="1" applyBorder="1" applyAlignment="1">
      <alignment horizontal="center" vertical="top"/>
    </xf>
    <xf numFmtId="0" fontId="4" fillId="0" borderId="1" xfId="0" applyFont="1" applyFill="1" applyBorder="1" applyAlignment="1">
      <alignment horizontal="center" vertical="top"/>
    </xf>
    <xf numFmtId="0" fontId="5" fillId="0" borderId="1" xfId="0" applyFont="1" applyBorder="1" applyAlignment="1">
      <alignment horizontal="right" vertical="top" wrapText="1"/>
    </xf>
    <xf numFmtId="5" fontId="5" fillId="0" borderId="1" xfId="0" applyNumberFormat="1" applyFont="1" applyFill="1" applyBorder="1" applyAlignment="1">
      <alignment horizontal="center" vertical="top" wrapText="1"/>
    </xf>
    <xf numFmtId="0" fontId="4" fillId="0" borderId="1" xfId="0" applyFont="1" applyFill="1" applyBorder="1" applyAlignment="1">
      <alignment horizontal="left" vertical="top" wrapText="1"/>
    </xf>
    <xf numFmtId="41" fontId="4" fillId="0" borderId="1" xfId="0" applyNumberFormat="1" applyFont="1" applyBorder="1" applyAlignment="1">
      <alignment horizontal="center" vertical="top" wrapText="1"/>
    </xf>
    <xf numFmtId="41" fontId="5" fillId="3" borderId="1" xfId="0" applyNumberFormat="1" applyFont="1" applyFill="1" applyBorder="1" applyAlignment="1">
      <alignment horizontal="center" vertical="top"/>
    </xf>
    <xf numFmtId="167" fontId="5" fillId="7" borderId="1" xfId="0" applyNumberFormat="1" applyFont="1" applyFill="1" applyBorder="1" applyAlignment="1">
      <alignment horizontal="center" vertical="top"/>
    </xf>
    <xf numFmtId="41" fontId="5" fillId="7" borderId="1" xfId="0" applyNumberFormat="1" applyFont="1" applyFill="1" applyBorder="1" applyAlignment="1">
      <alignment horizontal="center" vertical="top"/>
    </xf>
    <xf numFmtId="41" fontId="4" fillId="4" borderId="1" xfId="0" applyNumberFormat="1" applyFont="1" applyFill="1" applyBorder="1" applyAlignment="1">
      <alignment horizontal="center" vertical="top"/>
    </xf>
    <xf numFmtId="0" fontId="5" fillId="0" borderId="6" xfId="0" applyFont="1" applyBorder="1" applyAlignment="1">
      <alignment horizontal="right" vertical="top"/>
    </xf>
    <xf numFmtId="41" fontId="5" fillId="0" borderId="6" xfId="0" applyNumberFormat="1" applyFont="1" applyFill="1" applyBorder="1" applyAlignment="1">
      <alignment horizontal="center" vertical="top" wrapText="1"/>
    </xf>
    <xf numFmtId="41" fontId="4" fillId="9" borderId="6" xfId="0" applyNumberFormat="1" applyFont="1" applyFill="1" applyBorder="1" applyAlignment="1">
      <alignment horizontal="center" vertical="top"/>
    </xf>
    <xf numFmtId="14" fontId="5" fillId="0" borderId="6" xfId="0" applyNumberFormat="1" applyFont="1" applyFill="1" applyBorder="1" applyAlignment="1">
      <alignment horizontal="center" vertical="top"/>
    </xf>
    <xf numFmtId="0" fontId="5" fillId="2" borderId="6" xfId="0" applyFont="1" applyFill="1" applyBorder="1" applyAlignment="1">
      <alignment horizontal="center" vertical="top"/>
    </xf>
    <xf numFmtId="14" fontId="12" fillId="0" borderId="6" xfId="4" applyNumberFormat="1" applyBorder="1" applyAlignment="1">
      <alignment horizontal="center" vertical="top"/>
    </xf>
    <xf numFmtId="14" fontId="5" fillId="0" borderId="6" xfId="0" applyNumberFormat="1" applyFont="1" applyBorder="1" applyAlignment="1">
      <alignment horizontal="center" vertical="top" wrapText="1"/>
    </xf>
    <xf numFmtId="41" fontId="5" fillId="9" borderId="6" xfId="0" quotePrefix="1" applyNumberFormat="1" applyFont="1" applyFill="1" applyBorder="1" applyAlignment="1">
      <alignment horizontal="center" vertical="top"/>
    </xf>
    <xf numFmtId="166" fontId="5" fillId="0" borderId="0" xfId="0" applyNumberFormat="1" applyFont="1" applyAlignment="1">
      <alignment vertical="top"/>
    </xf>
    <xf numFmtId="44" fontId="5" fillId="0" borderId="0" xfId="5" applyFont="1" applyAlignment="1">
      <alignment vertical="top"/>
    </xf>
    <xf numFmtId="0" fontId="4" fillId="0" borderId="6" xfId="0" applyFont="1" applyFill="1" applyBorder="1" applyAlignment="1">
      <alignment horizontal="left" vertical="top" wrapText="1"/>
    </xf>
    <xf numFmtId="3" fontId="5" fillId="0" borderId="6" xfId="0" applyNumberFormat="1" applyFont="1" applyBorder="1" applyAlignment="1">
      <alignment horizontal="right" vertical="top"/>
    </xf>
    <xf numFmtId="0" fontId="9" fillId="0" borderId="6" xfId="0" applyFont="1" applyFill="1" applyBorder="1" applyAlignment="1">
      <alignment horizontal="left" vertical="top"/>
    </xf>
    <xf numFmtId="0" fontId="2" fillId="0" borderId="6" xfId="0" applyFont="1" applyFill="1" applyBorder="1" applyAlignment="1">
      <alignment horizontal="center" vertical="top" wrapText="1"/>
    </xf>
    <xf numFmtId="14" fontId="2" fillId="0" borderId="6" xfId="0" applyNumberFormat="1" applyFont="1" applyFill="1" applyBorder="1" applyAlignment="1">
      <alignment horizontal="center" vertical="top" wrapText="1"/>
    </xf>
    <xf numFmtId="41" fontId="2" fillId="0" borderId="6" xfId="0" applyNumberFormat="1" applyFont="1" applyFill="1" applyBorder="1" applyAlignment="1">
      <alignment horizontal="center" vertical="top" wrapText="1"/>
    </xf>
    <xf numFmtId="5" fontId="2" fillId="0" borderId="6" xfId="0" applyNumberFormat="1" applyFont="1" applyFill="1" applyBorder="1" applyAlignment="1">
      <alignment horizontal="center" vertical="top" wrapText="1"/>
    </xf>
    <xf numFmtId="0" fontId="2" fillId="0" borderId="6" xfId="0" applyFont="1" applyFill="1" applyBorder="1" applyAlignment="1">
      <alignment horizontal="left" vertical="top" wrapText="1"/>
    </xf>
    <xf numFmtId="41" fontId="6" fillId="0" borderId="6" xfId="0" applyNumberFormat="1" applyFont="1" applyFill="1" applyBorder="1" applyAlignment="1">
      <alignment horizontal="center" vertical="top" wrapText="1"/>
    </xf>
    <xf numFmtId="41" fontId="3" fillId="0" borderId="6" xfId="0" applyNumberFormat="1" applyFont="1" applyFill="1" applyBorder="1" applyAlignment="1">
      <alignment horizontal="center" vertical="top" wrapText="1"/>
    </xf>
    <xf numFmtId="0" fontId="0" fillId="0" borderId="1" xfId="0" applyFill="1" applyBorder="1" applyAlignment="1">
      <alignment vertical="top" wrapText="1"/>
    </xf>
    <xf numFmtId="0" fontId="0" fillId="0" borderId="0" xfId="0" applyFill="1" applyAlignment="1">
      <alignment vertical="top" wrapText="1"/>
    </xf>
    <xf numFmtId="0" fontId="5" fillId="0" borderId="6" xfId="0" applyFont="1" applyBorder="1" applyAlignment="1">
      <alignment vertical="top"/>
    </xf>
    <xf numFmtId="0" fontId="5" fillId="0" borderId="6" xfId="0" applyFont="1" applyBorder="1" applyAlignment="1">
      <alignment horizontal="center" vertical="top" wrapText="1"/>
    </xf>
    <xf numFmtId="0" fontId="5" fillId="0" borderId="6" xfId="0" applyFont="1" applyBorder="1" applyAlignment="1">
      <alignment horizontal="center" vertical="top"/>
    </xf>
    <xf numFmtId="14" fontId="5" fillId="0" borderId="6" xfId="0" applyNumberFormat="1" applyFont="1" applyBorder="1" applyAlignment="1">
      <alignment horizontal="center" vertical="top"/>
    </xf>
    <xf numFmtId="41" fontId="5" fillId="0" borderId="7" xfId="0" applyNumberFormat="1" applyFont="1" applyFill="1" applyBorder="1" applyAlignment="1">
      <alignment horizontal="center" vertical="top"/>
    </xf>
    <xf numFmtId="0" fontId="5" fillId="0" borderId="7" xfId="0" applyFont="1" applyBorder="1" applyAlignment="1">
      <alignment horizontal="center" vertical="top" wrapText="1"/>
    </xf>
    <xf numFmtId="14" fontId="5" fillId="0" borderId="7" xfId="0" applyNumberFormat="1" applyFont="1" applyBorder="1" applyAlignment="1">
      <alignment horizontal="center" vertical="top" wrapText="1"/>
    </xf>
    <xf numFmtId="0" fontId="5" fillId="0" borderId="6" xfId="0" applyFont="1" applyFill="1" applyBorder="1" applyAlignment="1">
      <alignment horizontal="center" vertical="top"/>
    </xf>
    <xf numFmtId="164" fontId="5" fillId="0" borderId="7" xfId="0" applyNumberFormat="1" applyFont="1" applyFill="1" applyBorder="1" applyAlignment="1">
      <alignment horizontal="left" vertical="top" wrapText="1"/>
    </xf>
    <xf numFmtId="41" fontId="5" fillId="0" borderId="6" xfId="0" applyNumberFormat="1" applyFont="1" applyFill="1" applyBorder="1" applyAlignment="1">
      <alignment horizontal="center" vertical="top"/>
    </xf>
    <xf numFmtId="41" fontId="5" fillId="3" borderId="6" xfId="0" applyNumberFormat="1" applyFont="1" applyFill="1" applyBorder="1" applyAlignment="1">
      <alignment horizontal="center" vertical="top"/>
    </xf>
    <xf numFmtId="41" fontId="5" fillId="7"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14" fontId="5" fillId="0" borderId="5" xfId="0" applyNumberFormat="1" applyFont="1" applyBorder="1" applyAlignment="1">
      <alignment horizontal="center" vertical="top" wrapText="1"/>
    </xf>
    <xf numFmtId="14" fontId="12" fillId="0" borderId="5" xfId="4" applyNumberFormat="1" applyBorder="1" applyAlignment="1">
      <alignment horizontal="center" vertical="top"/>
    </xf>
    <xf numFmtId="41" fontId="5" fillId="0" borderId="5" xfId="0" applyNumberFormat="1" applyFont="1" applyFill="1" applyBorder="1" applyAlignment="1">
      <alignment vertical="top"/>
    </xf>
    <xf numFmtId="0" fontId="5" fillId="0" borderId="6" xfId="0" applyFont="1" applyFill="1" applyBorder="1" applyAlignment="1">
      <alignment horizontal="right" vertical="top"/>
    </xf>
    <xf numFmtId="0" fontId="5" fillId="0" borderId="6" xfId="0" applyFont="1" applyFill="1" applyBorder="1" applyAlignment="1">
      <alignment vertical="top" wrapText="1"/>
    </xf>
    <xf numFmtId="14" fontId="12" fillId="0" borderId="6" xfId="4" applyNumberFormat="1" applyBorder="1" applyAlignment="1">
      <alignment horizontal="center" vertical="top"/>
    </xf>
    <xf numFmtId="43" fontId="5" fillId="0" borderId="0" xfId="0" applyNumberFormat="1" applyFont="1" applyAlignment="1">
      <alignment vertical="top"/>
    </xf>
    <xf numFmtId="0" fontId="5" fillId="0" borderId="6" xfId="0" applyFont="1" applyFill="1" applyBorder="1" applyAlignment="1">
      <alignment vertical="top"/>
    </xf>
    <xf numFmtId="5" fontId="5" fillId="0" borderId="6" xfId="0" applyNumberFormat="1" applyFont="1" applyBorder="1" applyAlignment="1">
      <alignment horizontal="center" vertical="top"/>
    </xf>
    <xf numFmtId="0" fontId="5" fillId="0" borderId="6" xfId="0" applyFont="1" applyBorder="1" applyAlignment="1">
      <alignment horizontal="left" vertical="top" wrapText="1"/>
    </xf>
    <xf numFmtId="41" fontId="5" fillId="0" borderId="6" xfId="0" applyNumberFormat="1" applyFont="1" applyBorder="1" applyAlignment="1">
      <alignment vertical="top"/>
    </xf>
    <xf numFmtId="167" fontId="4" fillId="9" borderId="6" xfId="0" applyNumberFormat="1" applyFont="1" applyFill="1" applyBorder="1" applyAlignment="1">
      <alignment horizontal="center" vertical="top"/>
    </xf>
    <xf numFmtId="0" fontId="5" fillId="0" borderId="6" xfId="0" applyFont="1" applyFill="1" applyBorder="1" applyAlignment="1">
      <alignment horizontal="center" vertical="top" wrapText="1"/>
    </xf>
    <xf numFmtId="14" fontId="5" fillId="0" borderId="6" xfId="0" applyNumberFormat="1" applyFont="1" applyFill="1" applyBorder="1" applyAlignment="1">
      <alignment horizontal="center" vertical="top" wrapText="1"/>
    </xf>
    <xf numFmtId="41" fontId="13" fillId="0" borderId="6" xfId="0" applyNumberFormat="1" applyFont="1" applyBorder="1" applyAlignment="1">
      <alignment horizontal="left" vertical="top" wrapText="1"/>
    </xf>
    <xf numFmtId="41" fontId="5" fillId="7" borderId="6" xfId="0" applyNumberFormat="1" applyFont="1" applyFill="1" applyBorder="1" applyAlignment="1">
      <alignment horizontal="center" vertical="top" wrapText="1"/>
    </xf>
    <xf numFmtId="0" fontId="5" fillId="0" borderId="0" xfId="0" applyFont="1" applyFill="1" applyAlignment="1">
      <alignment vertical="top" wrapText="1"/>
    </xf>
    <xf numFmtId="0" fontId="5" fillId="0" borderId="6" xfId="0" applyFont="1" applyFill="1" applyBorder="1" applyAlignment="1">
      <alignment horizontal="right" vertical="top" wrapText="1"/>
    </xf>
    <xf numFmtId="14" fontId="12" fillId="0" borderId="6" xfId="4" applyNumberFormat="1" applyFill="1" applyBorder="1" applyAlignment="1">
      <alignment horizontal="center" vertical="top"/>
    </xf>
    <xf numFmtId="164" fontId="13" fillId="0" borderId="6" xfId="0" applyNumberFormat="1" applyFont="1" applyFill="1" applyBorder="1" applyAlignment="1">
      <alignment horizontal="left" vertical="top" wrapText="1"/>
    </xf>
    <xf numFmtId="14" fontId="10" fillId="0" borderId="6" xfId="2" applyNumberFormat="1" applyFill="1" applyBorder="1" applyAlignment="1">
      <alignment horizontal="center" vertical="top"/>
    </xf>
    <xf numFmtId="14" fontId="0" fillId="0" borderId="6" xfId="0" applyNumberFormat="1" applyFill="1" applyBorder="1" applyAlignment="1">
      <alignment horizontal="center" vertical="top"/>
    </xf>
    <xf numFmtId="0" fontId="12" fillId="0" borderId="6" xfId="4" applyFill="1" applyBorder="1" applyAlignment="1">
      <alignment horizontal="center" vertical="top"/>
    </xf>
    <xf numFmtId="0" fontId="5" fillId="0" borderId="1" xfId="0" applyFont="1" applyFill="1" applyBorder="1" applyAlignment="1">
      <alignment horizontal="center" vertical="top"/>
    </xf>
    <xf numFmtId="0" fontId="5" fillId="0" borderId="1" xfId="0" applyFont="1" applyFill="1" applyBorder="1" applyAlignment="1">
      <alignment horizontal="right" vertical="top" wrapText="1"/>
    </xf>
    <xf numFmtId="164" fontId="5" fillId="0" borderId="1" xfId="0" applyNumberFormat="1" applyFont="1" applyFill="1" applyBorder="1" applyAlignment="1">
      <alignment horizontal="left" vertical="top" wrapText="1"/>
    </xf>
    <xf numFmtId="41" fontId="5" fillId="0" borderId="1" xfId="0" applyNumberFormat="1" applyFont="1" applyBorder="1" applyAlignment="1">
      <alignment horizontal="center" vertical="top"/>
    </xf>
    <xf numFmtId="41" fontId="5" fillId="9" borderId="1" xfId="0" applyNumberFormat="1" applyFont="1" applyFill="1" applyBorder="1" applyAlignment="1">
      <alignment horizontal="center" vertical="top"/>
    </xf>
    <xf numFmtId="41" fontId="4" fillId="6" borderId="1" xfId="0" applyNumberFormat="1" applyFont="1" applyFill="1" applyBorder="1" applyAlignment="1">
      <alignment horizontal="center" vertical="top"/>
    </xf>
    <xf numFmtId="0" fontId="5" fillId="0" borderId="1" xfId="7" applyFont="1" applyBorder="1" applyAlignment="1">
      <alignment horizontal="center" vertical="top"/>
    </xf>
    <xf numFmtId="0" fontId="5" fillId="0" borderId="1" xfId="7" applyFont="1" applyAlignment="1"/>
    <xf numFmtId="14" fontId="5" fillId="0" borderId="1" xfId="7" applyNumberFormat="1" applyFont="1" applyBorder="1" applyAlignment="1">
      <alignment horizontal="center" vertical="top"/>
    </xf>
    <xf numFmtId="41" fontId="5" fillId="0" borderId="1" xfId="7" applyNumberFormat="1" applyFont="1" applyFill="1" applyBorder="1" applyAlignment="1">
      <alignment horizontal="center" vertical="top"/>
    </xf>
    <xf numFmtId="0" fontId="5" fillId="0" borderId="1" xfId="7" applyFont="1" applyFill="1" applyBorder="1" applyAlignment="1">
      <alignment horizontal="center" vertical="top"/>
    </xf>
    <xf numFmtId="0" fontId="5" fillId="0" borderId="1" xfId="7" applyFont="1" applyFill="1" applyBorder="1" applyAlignment="1">
      <alignment horizontal="right" vertical="top" wrapText="1"/>
    </xf>
    <xf numFmtId="5" fontId="5" fillId="0" borderId="1" xfId="7" applyNumberFormat="1" applyFont="1" applyFill="1" applyBorder="1" applyAlignment="1">
      <alignment horizontal="center" vertical="top" wrapText="1"/>
    </xf>
    <xf numFmtId="164" fontId="13" fillId="0" borderId="1" xfId="7" applyNumberFormat="1" applyFont="1" applyFill="1" applyBorder="1" applyAlignment="1">
      <alignment horizontal="left" vertical="top" wrapText="1"/>
    </xf>
    <xf numFmtId="41" fontId="5" fillId="0" borderId="1" xfId="7" applyNumberFormat="1" applyFont="1" applyBorder="1" applyAlignment="1">
      <alignment horizontal="center" vertical="top"/>
    </xf>
    <xf numFmtId="41" fontId="5" fillId="7" borderId="1" xfId="7" applyNumberFormat="1" applyFont="1" applyFill="1" applyBorder="1" applyAlignment="1">
      <alignment horizontal="center" vertical="top"/>
    </xf>
    <xf numFmtId="41" fontId="4" fillId="9" borderId="1" xfId="7" applyNumberFormat="1" applyFont="1" applyFill="1" applyBorder="1" applyAlignment="1">
      <alignment horizontal="center" vertical="top"/>
    </xf>
    <xf numFmtId="41" fontId="5" fillId="9" borderId="1" xfId="7"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3"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5" fillId="3"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0" fontId="5" fillId="0" borderId="6" xfId="0" applyFont="1" applyFill="1" applyBorder="1" applyAlignment="1">
      <alignment horizontal="left" vertical="top"/>
    </xf>
    <xf numFmtId="0" fontId="5" fillId="0" borderId="1" xfId="7" applyFont="1" applyFill="1" applyBorder="1" applyAlignment="1">
      <alignment vertical="top" wrapText="1"/>
    </xf>
    <xf numFmtId="0" fontId="5" fillId="0" borderId="1" xfId="7" applyFont="1" applyFill="1" applyBorder="1" applyAlignment="1">
      <alignment vertical="top"/>
    </xf>
    <xf numFmtId="0" fontId="5" fillId="0" borderId="1" xfId="7" applyFont="1" applyFill="1" applyBorder="1" applyAlignment="1">
      <alignment horizontal="center" vertical="top" wrapText="1"/>
    </xf>
    <xf numFmtId="41" fontId="5" fillId="3"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0" fontId="5" fillId="0" borderId="6" xfId="0" applyFont="1" applyFill="1" applyBorder="1" applyAlignment="1">
      <alignment horizontal="center" vertical="top"/>
    </xf>
    <xf numFmtId="5" fontId="5" fillId="0" borderId="6" xfId="0" applyNumberFormat="1" applyFont="1" applyFill="1" applyBorder="1" applyAlignment="1">
      <alignment horizontal="center" vertical="top" wrapText="1"/>
    </xf>
    <xf numFmtId="41" fontId="5" fillId="0" borderId="6" xfId="0" applyNumberFormat="1" applyFont="1" applyBorder="1" applyAlignment="1">
      <alignment horizontal="center" vertical="top"/>
    </xf>
    <xf numFmtId="41" fontId="5" fillId="0" borderId="6" xfId="0" applyNumberFormat="1" applyFont="1" applyFill="1" applyBorder="1" applyAlignment="1">
      <alignment horizontal="center" vertical="top"/>
    </xf>
    <xf numFmtId="0" fontId="5" fillId="0" borderId="6" xfId="0" applyFont="1" applyBorder="1" applyAlignment="1">
      <alignment vertical="top"/>
    </xf>
    <xf numFmtId="0" fontId="5" fillId="0" borderId="6" xfId="0" applyFont="1" applyBorder="1" applyAlignment="1">
      <alignment horizontal="center" vertical="top" wrapText="1"/>
    </xf>
    <xf numFmtId="0" fontId="5" fillId="0" borderId="6" xfId="0" applyFont="1" applyBorder="1" applyAlignment="1">
      <alignment horizontal="center" vertical="top"/>
    </xf>
    <xf numFmtId="14" fontId="5" fillId="0" borderId="6" xfId="0" applyNumberFormat="1" applyFont="1" applyBorder="1" applyAlignment="1">
      <alignment horizontal="center" vertical="top"/>
    </xf>
    <xf numFmtId="0" fontId="5" fillId="0" borderId="6" xfId="0" applyFont="1" applyFill="1" applyBorder="1" applyAlignment="1">
      <alignment vertical="top" wrapText="1"/>
    </xf>
    <xf numFmtId="14" fontId="12" fillId="0" borderId="6" xfId="4" applyNumberFormat="1" applyBorder="1" applyAlignment="1">
      <alignment horizontal="center" vertical="top"/>
    </xf>
    <xf numFmtId="41" fontId="1" fillId="3" borderId="2" xfId="0" applyNumberFormat="1" applyFont="1" applyFill="1" applyBorder="1" applyAlignment="1">
      <alignment horizontal="centerContinuous"/>
    </xf>
    <xf numFmtId="14" fontId="12" fillId="0" borderId="6" xfId="4" applyNumberFormat="1" applyBorder="1" applyAlignment="1">
      <alignment horizontal="center" vertical="top"/>
    </xf>
    <xf numFmtId="5" fontId="5" fillId="0" borderId="6" xfId="0" applyNumberFormat="1" applyFont="1" applyFill="1" applyBorder="1" applyAlignment="1">
      <alignment horizontal="center" vertical="top" wrapText="1"/>
    </xf>
    <xf numFmtId="0" fontId="5" fillId="0" borderId="6" xfId="0" applyFont="1" applyFill="1" applyBorder="1" applyAlignment="1">
      <alignment horizontal="left" vertical="top" wrapText="1"/>
    </xf>
    <xf numFmtId="0" fontId="5" fillId="0" borderId="6" xfId="0" applyFont="1" applyBorder="1" applyAlignment="1">
      <alignment horizontal="center" vertical="top"/>
    </xf>
    <xf numFmtId="14" fontId="5" fillId="0" borderId="6" xfId="0" applyNumberFormat="1" applyFont="1" applyBorder="1" applyAlignment="1">
      <alignment horizontal="center" vertical="top"/>
    </xf>
    <xf numFmtId="0" fontId="5" fillId="0" borderId="6" xfId="0" applyFont="1" applyFill="1" applyBorder="1" applyAlignment="1">
      <alignment horizontal="center" vertical="top"/>
    </xf>
    <xf numFmtId="5" fontId="5" fillId="0" borderId="6" xfId="0" applyNumberFormat="1" applyFont="1" applyFill="1" applyBorder="1" applyAlignment="1">
      <alignment horizontal="center" vertical="top" wrapText="1"/>
    </xf>
    <xf numFmtId="41" fontId="5" fillId="0" borderId="6" xfId="0" applyNumberFormat="1" applyFont="1" applyBorder="1" applyAlignment="1">
      <alignment horizontal="center" vertical="top"/>
    </xf>
    <xf numFmtId="41" fontId="5" fillId="0" borderId="6" xfId="0" applyNumberFormat="1" applyFont="1" applyFill="1" applyBorder="1" applyAlignment="1">
      <alignment horizontal="center" vertical="top"/>
    </xf>
    <xf numFmtId="41" fontId="5" fillId="7" borderId="6" xfId="0" applyNumberFormat="1" applyFont="1" applyFill="1" applyBorder="1" applyAlignment="1">
      <alignment horizontal="center" vertical="top"/>
    </xf>
    <xf numFmtId="0" fontId="5" fillId="0" borderId="6" xfId="0" applyFont="1" applyBorder="1" applyAlignment="1">
      <alignment horizontal="center" vertical="top"/>
    </xf>
    <xf numFmtId="14" fontId="5" fillId="0" borderId="6" xfId="0" applyNumberFormat="1" applyFont="1" applyBorder="1" applyAlignment="1">
      <alignment horizontal="center" vertical="top"/>
    </xf>
    <xf numFmtId="41" fontId="5" fillId="9" borderId="6" xfId="0" applyNumberFormat="1" applyFont="1" applyFill="1" applyBorder="1" applyAlignment="1">
      <alignment horizontal="center" vertical="top"/>
    </xf>
    <xf numFmtId="14" fontId="12" fillId="0" borderId="6" xfId="4" applyNumberFormat="1" applyBorder="1" applyAlignment="1">
      <alignment horizontal="center" vertical="top"/>
    </xf>
    <xf numFmtId="37" fontId="5" fillId="0" borderId="6" xfId="0" applyNumberFormat="1" applyFont="1" applyFill="1" applyBorder="1" applyAlignment="1">
      <alignment horizontal="center" vertical="top" wrapText="1"/>
    </xf>
    <xf numFmtId="0" fontId="5" fillId="0" borderId="6" xfId="0" applyFont="1" applyFill="1" applyBorder="1" applyAlignment="1">
      <alignment horizontal="left" vertical="center" wrapText="1"/>
    </xf>
    <xf numFmtId="41" fontId="5" fillId="3"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0" fontId="5" fillId="0" borderId="6" xfId="0" applyFont="1" applyFill="1" applyBorder="1" applyAlignment="1">
      <alignment horizontal="center" vertical="top"/>
    </xf>
    <xf numFmtId="0" fontId="5" fillId="0" borderId="6" xfId="0" applyFont="1" applyFill="1" applyBorder="1" applyAlignment="1">
      <alignment vertical="top" wrapText="1"/>
    </xf>
    <xf numFmtId="0" fontId="5" fillId="11" borderId="0" xfId="0" applyFont="1" applyFill="1" applyAlignment="1"/>
    <xf numFmtId="41" fontId="5" fillId="0" borderId="6" xfId="0" applyNumberFormat="1" applyFont="1" applyBorder="1" applyAlignment="1">
      <alignment horizontal="center" vertical="top"/>
    </xf>
    <xf numFmtId="14" fontId="5" fillId="0" borderId="1" xfId="0" applyNumberFormat="1" applyFont="1" applyBorder="1" applyAlignment="1">
      <alignment horizontal="center" vertical="top" wrapText="1"/>
    </xf>
    <xf numFmtId="41" fontId="5" fillId="0" borderId="1" xfId="0" applyNumberFormat="1" applyFont="1" applyFill="1" applyBorder="1" applyAlignment="1">
      <alignment vertical="top"/>
    </xf>
    <xf numFmtId="0" fontId="5" fillId="0" borderId="6" xfId="0" applyFont="1" applyFill="1" applyBorder="1" applyAlignment="1">
      <alignment vertical="top" wrapText="1"/>
    </xf>
    <xf numFmtId="0" fontId="5" fillId="0" borderId="6" xfId="0" applyFont="1" applyFill="1" applyBorder="1" applyAlignment="1">
      <alignment horizontal="center" vertical="top"/>
    </xf>
    <xf numFmtId="41" fontId="5" fillId="3"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3" fillId="0" borderId="1" xfId="0" applyNumberFormat="1" applyFont="1" applyFill="1" applyBorder="1" applyAlignment="1">
      <alignment horizontal="center" wrapText="1"/>
    </xf>
    <xf numFmtId="14" fontId="12" fillId="0" borderId="7" xfId="4" applyNumberFormat="1" applyFill="1" applyBorder="1" applyAlignment="1">
      <alignment horizontal="center" vertical="top"/>
    </xf>
    <xf numFmtId="14" fontId="12" fillId="0" borderId="5" xfId="4" applyNumberFormat="1" applyFill="1" applyBorder="1" applyAlignment="1">
      <alignment horizontal="center" vertical="top"/>
    </xf>
    <xf numFmtId="14" fontId="12" fillId="0" borderId="1" xfId="4" applyNumberFormat="1" applyFill="1" applyBorder="1" applyAlignment="1">
      <alignment horizontal="center" vertical="top"/>
    </xf>
    <xf numFmtId="41" fontId="5" fillId="3" borderId="6" xfId="0" applyNumberFormat="1" applyFont="1" applyFill="1" applyBorder="1" applyAlignment="1">
      <alignment horizontal="center" vertical="top"/>
    </xf>
    <xf numFmtId="41" fontId="17" fillId="0" borderId="1" xfId="0" applyNumberFormat="1" applyFont="1" applyFill="1" applyBorder="1" applyAlignment="1">
      <alignment horizontal="center" wrapText="1"/>
    </xf>
    <xf numFmtId="41" fontId="18" fillId="0" borderId="6" xfId="0" applyNumberFormat="1" applyFont="1" applyFill="1" applyBorder="1" applyAlignment="1">
      <alignment horizontal="center" vertical="top" wrapText="1"/>
    </xf>
    <xf numFmtId="0" fontId="5" fillId="0" borderId="6" xfId="0" applyFont="1" applyFill="1" applyBorder="1" applyAlignment="1">
      <alignment vertical="top" wrapText="1"/>
    </xf>
    <xf numFmtId="0" fontId="5" fillId="0" borderId="6" xfId="0" applyFont="1" applyFill="1" applyBorder="1" applyAlignment="1">
      <alignment horizontal="center" vertical="top"/>
    </xf>
    <xf numFmtId="41" fontId="5" fillId="3"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0" fontId="0" fillId="0" borderId="6" xfId="0" applyFill="1" applyBorder="1" applyAlignment="1">
      <alignment vertical="top" wrapText="1"/>
    </xf>
    <xf numFmtId="14" fontId="12" fillId="0" borderId="6" xfId="4" applyNumberFormat="1" applyBorder="1" applyAlignment="1">
      <alignment horizontal="center" vertical="top"/>
    </xf>
    <xf numFmtId="0" fontId="5" fillId="0" borderId="6" xfId="0" applyFont="1" applyFill="1" applyBorder="1" applyAlignment="1">
      <alignment horizontal="center" vertical="top"/>
    </xf>
    <xf numFmtId="5" fontId="5" fillId="0" borderId="6" xfId="0" applyNumberFormat="1" applyFont="1" applyFill="1" applyBorder="1" applyAlignment="1">
      <alignment horizontal="center" vertical="top" wrapText="1"/>
    </xf>
    <xf numFmtId="41" fontId="5" fillId="0" borderId="6" xfId="0" applyNumberFormat="1" applyFont="1" applyBorder="1" applyAlignment="1">
      <alignment horizontal="center" vertical="top"/>
    </xf>
    <xf numFmtId="41" fontId="5" fillId="0" borderId="6" xfId="0" applyNumberFormat="1" applyFont="1" applyFill="1" applyBorder="1" applyAlignment="1">
      <alignment horizontal="center" vertical="top"/>
    </xf>
    <xf numFmtId="0" fontId="5" fillId="0" borderId="6" xfId="0" applyFont="1" applyBorder="1" applyAlignment="1">
      <alignment horizontal="center" vertical="top"/>
    </xf>
    <xf numFmtId="14" fontId="5" fillId="0" borderId="6" xfId="0" applyNumberFormat="1" applyFont="1" applyBorder="1" applyAlignment="1">
      <alignment horizontal="center" vertical="top"/>
    </xf>
    <xf numFmtId="41" fontId="5" fillId="0"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5" fillId="0" borderId="7" xfId="0" applyNumberFormat="1" applyFont="1" applyFill="1" applyBorder="1" applyAlignment="1">
      <alignment horizontal="center" vertical="top"/>
    </xf>
    <xf numFmtId="0" fontId="9" fillId="0" borderId="6" xfId="0" applyFont="1" applyFill="1" applyBorder="1" applyAlignment="1">
      <alignment horizontal="left"/>
    </xf>
    <xf numFmtId="0" fontId="2" fillId="0" borderId="6" xfId="0" applyFont="1" applyFill="1" applyBorder="1" applyAlignment="1">
      <alignment horizontal="center" wrapText="1"/>
    </xf>
    <xf numFmtId="0" fontId="5" fillId="0" borderId="6" xfId="0" applyFont="1" applyBorder="1" applyAlignment="1">
      <alignment horizontal="center"/>
    </xf>
    <xf numFmtId="14" fontId="5" fillId="0" borderId="6" xfId="0" applyNumberFormat="1" applyFont="1" applyBorder="1" applyAlignment="1">
      <alignment horizontal="center"/>
    </xf>
    <xf numFmtId="41" fontId="2" fillId="0" borderId="6" xfId="0" applyNumberFormat="1" applyFont="1" applyFill="1" applyBorder="1" applyAlignment="1">
      <alignment horizontal="center" wrapText="1"/>
    </xf>
    <xf numFmtId="14" fontId="2" fillId="0" borderId="6" xfId="0" applyNumberFormat="1" applyFont="1" applyFill="1" applyBorder="1" applyAlignment="1">
      <alignment horizontal="center" wrapText="1"/>
    </xf>
    <xf numFmtId="14" fontId="5" fillId="0" borderId="6" xfId="0" applyNumberFormat="1" applyFont="1" applyFill="1" applyBorder="1" applyAlignment="1">
      <alignment horizontal="center"/>
    </xf>
    <xf numFmtId="5" fontId="2" fillId="0" borderId="6" xfId="0" applyNumberFormat="1" applyFont="1" applyFill="1" applyBorder="1" applyAlignment="1">
      <alignment horizontal="center" wrapText="1"/>
    </xf>
    <xf numFmtId="0" fontId="2" fillId="0" borderId="6" xfId="0" applyFont="1" applyFill="1" applyBorder="1" applyAlignment="1">
      <alignment horizontal="left" wrapText="1"/>
    </xf>
    <xf numFmtId="41" fontId="18" fillId="0" borderId="6" xfId="0" applyNumberFormat="1" applyFont="1" applyFill="1" applyBorder="1" applyAlignment="1">
      <alignment horizontal="center" wrapText="1"/>
    </xf>
    <xf numFmtId="41" fontId="6" fillId="0" borderId="6" xfId="0" applyNumberFormat="1" applyFont="1" applyFill="1" applyBorder="1" applyAlignment="1">
      <alignment horizontal="center" wrapText="1"/>
    </xf>
    <xf numFmtId="41" fontId="3" fillId="0" borderId="6" xfId="0" applyNumberFormat="1" applyFont="1" applyFill="1" applyBorder="1" applyAlignment="1">
      <alignment horizontal="center" wrapText="1"/>
    </xf>
    <xf numFmtId="0" fontId="5" fillId="0" borderId="0" xfId="0" applyFont="1" applyFill="1" applyAlignment="1"/>
    <xf numFmtId="0" fontId="0" fillId="0" borderId="0" xfId="0" applyFill="1" applyAlignment="1"/>
    <xf numFmtId="41" fontId="5" fillId="9" borderId="6" xfId="0" applyNumberFormat="1" applyFont="1" applyFill="1" applyBorder="1" applyAlignment="1">
      <alignment horizontal="center" vertical="top"/>
    </xf>
    <xf numFmtId="14" fontId="10" fillId="0" borderId="1" xfId="4"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5" fillId="7" borderId="6" xfId="0" applyNumberFormat="1" applyFont="1" applyFill="1" applyBorder="1" applyAlignment="1">
      <alignment horizontal="center" vertical="top"/>
    </xf>
    <xf numFmtId="0" fontId="5" fillId="0" borderId="6" xfId="0" applyFont="1" applyFill="1" applyBorder="1" applyAlignment="1">
      <alignment horizontal="center" vertical="top"/>
    </xf>
    <xf numFmtId="41" fontId="5" fillId="0" borderId="7" xfId="0" applyNumberFormat="1" applyFont="1" applyBorder="1" applyAlignment="1">
      <alignment horizontal="center" vertical="top"/>
    </xf>
    <xf numFmtId="41" fontId="5" fillId="0" borderId="5" xfId="0" applyNumberFormat="1" applyFont="1" applyBorder="1" applyAlignment="1">
      <alignment horizontal="center" vertical="top"/>
    </xf>
    <xf numFmtId="41" fontId="5" fillId="0" borderId="5" xfId="0" applyNumberFormat="1" applyFont="1" applyFill="1" applyBorder="1" applyAlignment="1">
      <alignment horizontal="center" vertical="top"/>
    </xf>
    <xf numFmtId="14" fontId="12" fillId="0" borderId="1" xfId="4" applyNumberFormat="1" applyBorder="1" applyAlignment="1">
      <alignment horizontal="center" vertical="top"/>
    </xf>
    <xf numFmtId="41" fontId="5" fillId="3"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0" fontId="5" fillId="0" borderId="6" xfId="0" applyFont="1" applyFill="1" applyBorder="1" applyAlignment="1">
      <alignment horizontal="center" vertical="top"/>
    </xf>
    <xf numFmtId="0" fontId="5" fillId="0" borderId="5" xfId="0" applyFont="1" applyFill="1" applyBorder="1" applyAlignment="1">
      <alignment horizontal="center" vertical="top"/>
    </xf>
    <xf numFmtId="0" fontId="5" fillId="0" borderId="6" xfId="0" applyFont="1" applyFill="1" applyBorder="1" applyAlignment="1">
      <alignment vertical="top" wrapText="1"/>
    </xf>
    <xf numFmtId="41" fontId="5" fillId="0" borderId="1" xfId="0" applyNumberFormat="1" applyFont="1" applyFill="1" applyBorder="1" applyAlignment="1">
      <alignment horizontal="center" vertical="top" wrapText="1"/>
    </xf>
    <xf numFmtId="41" fontId="5" fillId="3"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5" fillId="0" borderId="6" xfId="0" applyNumberFormat="1" applyFont="1" applyFill="1" applyBorder="1" applyAlignment="1">
      <alignment horizontal="center" vertical="top"/>
    </xf>
    <xf numFmtId="41" fontId="5" fillId="7" borderId="6" xfId="0" applyNumberFormat="1" applyFont="1" applyFill="1" applyBorder="1" applyAlignment="1">
      <alignment horizontal="center" vertical="top"/>
    </xf>
    <xf numFmtId="0" fontId="5" fillId="0" borderId="6" xfId="0" applyFont="1" applyBorder="1" applyAlignment="1">
      <alignment vertical="top"/>
    </xf>
    <xf numFmtId="0" fontId="5" fillId="0" borderId="6" xfId="0" applyFont="1" applyBorder="1" applyAlignment="1">
      <alignment horizontal="center" vertical="top" wrapText="1"/>
    </xf>
    <xf numFmtId="0" fontId="5" fillId="0" borderId="6" xfId="0" applyFont="1" applyFill="1" applyBorder="1" applyAlignment="1">
      <alignment vertical="top" wrapText="1"/>
    </xf>
    <xf numFmtId="41" fontId="5" fillId="12" borderId="6" xfId="0" applyNumberFormat="1" applyFont="1" applyFill="1" applyBorder="1" applyAlignment="1">
      <alignment horizontal="center" vertical="top"/>
    </xf>
    <xf numFmtId="41" fontId="5" fillId="3"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0" fontId="5" fillId="0" borderId="6" xfId="0" applyFont="1" applyFill="1" applyBorder="1" applyAlignment="1">
      <alignment horizontal="center" vertical="top"/>
    </xf>
    <xf numFmtId="5" fontId="5" fillId="0" borderId="6" xfId="0" applyNumberFormat="1" applyFont="1" applyFill="1" applyBorder="1" applyAlignment="1">
      <alignment horizontal="center" vertical="top" wrapText="1"/>
    </xf>
    <xf numFmtId="41" fontId="5" fillId="0" borderId="6" xfId="0" applyNumberFormat="1" applyFont="1" applyFill="1" applyBorder="1" applyAlignment="1">
      <alignment horizontal="center" vertical="top"/>
    </xf>
    <xf numFmtId="0" fontId="5" fillId="0" borderId="6" xfId="0" applyFont="1" applyFill="1" applyBorder="1" applyAlignment="1">
      <alignment horizontal="center" vertical="top"/>
    </xf>
    <xf numFmtId="41" fontId="5" fillId="0"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0" fontId="5" fillId="0" borderId="6" xfId="0" applyFont="1" applyFill="1" applyBorder="1" applyAlignment="1">
      <alignment horizontal="center" vertical="top"/>
    </xf>
    <xf numFmtId="41" fontId="5" fillId="0" borderId="6" xfId="0" applyNumberFormat="1" applyFont="1" applyFill="1" applyBorder="1" applyAlignment="1">
      <alignment horizontal="center" vertical="top"/>
    </xf>
    <xf numFmtId="0" fontId="5" fillId="0" borderId="6" xfId="0" applyFont="1" applyBorder="1" applyAlignment="1">
      <alignment horizontal="center" vertical="top"/>
    </xf>
    <xf numFmtId="14" fontId="5" fillId="0" borderId="6" xfId="0" applyNumberFormat="1" applyFont="1" applyBorder="1" applyAlignment="1">
      <alignment horizontal="center" vertical="top"/>
    </xf>
    <xf numFmtId="0" fontId="5" fillId="0" borderId="6" xfId="0" applyFont="1" applyFill="1" applyBorder="1" applyAlignment="1">
      <alignment vertical="top" wrapText="1"/>
    </xf>
    <xf numFmtId="41" fontId="20" fillId="0" borderId="0" xfId="0" applyNumberFormat="1" applyFont="1" applyFill="1"/>
    <xf numFmtId="0" fontId="20" fillId="0" borderId="0" xfId="0" applyFont="1"/>
    <xf numFmtId="41" fontId="21" fillId="8" borderId="1" xfId="0" applyNumberFormat="1" applyFont="1" applyFill="1" applyBorder="1" applyAlignment="1">
      <alignment horizontal="center" wrapText="1"/>
    </xf>
    <xf numFmtId="41" fontId="21" fillId="0" borderId="1" xfId="0" applyNumberFormat="1" applyFont="1" applyFill="1" applyBorder="1" applyAlignment="1">
      <alignment horizontal="center" wrapText="1"/>
    </xf>
    <xf numFmtId="41" fontId="20" fillId="9" borderId="6" xfId="0" applyNumberFormat="1" applyFont="1" applyFill="1" applyBorder="1" applyAlignment="1">
      <alignment horizontal="center" vertical="top"/>
    </xf>
    <xf numFmtId="41" fontId="20" fillId="7" borderId="1" xfId="0" applyNumberFormat="1" applyFont="1" applyFill="1" applyBorder="1" applyAlignment="1">
      <alignment horizontal="center" vertical="top"/>
    </xf>
    <xf numFmtId="41" fontId="21" fillId="0" borderId="6" xfId="0" applyNumberFormat="1" applyFont="1" applyFill="1" applyBorder="1" applyAlignment="1">
      <alignment horizontal="center" vertical="top" wrapText="1"/>
    </xf>
    <xf numFmtId="41" fontId="20" fillId="9" borderId="6" xfId="0" applyNumberFormat="1" applyFont="1" applyFill="1" applyBorder="1" applyAlignment="1">
      <alignment horizontal="center" vertical="top"/>
    </xf>
    <xf numFmtId="41" fontId="21" fillId="0" borderId="6" xfId="0" applyNumberFormat="1" applyFont="1" applyFill="1" applyBorder="1" applyAlignment="1">
      <alignment horizontal="center" wrapText="1"/>
    </xf>
    <xf numFmtId="41" fontId="20" fillId="7" borderId="6" xfId="0" applyNumberFormat="1" applyFont="1" applyFill="1" applyBorder="1" applyAlignment="1">
      <alignment horizontal="center" vertical="top" wrapText="1"/>
    </xf>
    <xf numFmtId="41" fontId="20" fillId="9" borderId="1" xfId="7" applyNumberFormat="1" applyFont="1" applyFill="1" applyBorder="1" applyAlignment="1">
      <alignment horizontal="center" vertical="top"/>
    </xf>
    <xf numFmtId="41" fontId="20" fillId="9" borderId="1" xfId="0" applyNumberFormat="1" applyFont="1" applyFill="1" applyBorder="1" applyAlignment="1">
      <alignment horizontal="center" vertical="top"/>
    </xf>
    <xf numFmtId="41" fontId="22" fillId="7" borderId="3" xfId="0" applyNumberFormat="1" applyFont="1" applyFill="1" applyBorder="1" applyAlignment="1">
      <alignment horizontal="center"/>
    </xf>
    <xf numFmtId="0" fontId="20" fillId="0" borderId="0" xfId="0" applyFont="1" applyFill="1"/>
    <xf numFmtId="0" fontId="5" fillId="0" borderId="6" xfId="0" applyFont="1" applyFill="1" applyBorder="1" applyAlignment="1">
      <alignment vertical="top" wrapText="1"/>
    </xf>
    <xf numFmtId="0" fontId="5" fillId="0" borderId="6" xfId="0" applyFont="1" applyFill="1" applyBorder="1" applyAlignment="1">
      <alignment horizontal="center" vertical="top"/>
    </xf>
    <xf numFmtId="41" fontId="5" fillId="0" borderId="6" xfId="0" applyNumberFormat="1" applyFont="1" applyFill="1" applyBorder="1" applyAlignment="1">
      <alignment horizontal="center" vertical="top"/>
    </xf>
    <xf numFmtId="0" fontId="5" fillId="0" borderId="6" xfId="0" applyFont="1" applyFill="1" applyBorder="1" applyAlignment="1">
      <alignment horizontal="center" vertical="top"/>
    </xf>
    <xf numFmtId="41" fontId="5" fillId="0" borderId="6" xfId="0" applyNumberFormat="1" applyFont="1" applyBorder="1" applyAlignment="1">
      <alignment horizontal="center" vertical="top"/>
    </xf>
    <xf numFmtId="41" fontId="5" fillId="3"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5" fillId="0" borderId="1" xfId="0" applyNumberFormat="1" applyFont="1" applyFill="1" applyBorder="1" applyAlignment="1">
      <alignment horizontal="center" vertical="top"/>
    </xf>
    <xf numFmtId="41" fontId="5" fillId="9" borderId="5" xfId="0" quotePrefix="1" applyNumberFormat="1" applyFont="1" applyFill="1" applyBorder="1" applyAlignment="1">
      <alignment vertical="top"/>
    </xf>
    <xf numFmtId="41" fontId="5" fillId="9" borderId="5" xfId="0" applyNumberFormat="1" applyFont="1" applyFill="1" applyBorder="1" applyAlignment="1">
      <alignment vertical="top"/>
    </xf>
    <xf numFmtId="0" fontId="5" fillId="0" borderId="5" xfId="0" applyFont="1" applyFill="1" applyBorder="1" applyAlignment="1">
      <alignment horizontal="center" vertical="top"/>
    </xf>
    <xf numFmtId="5" fontId="5" fillId="0" borderId="5" xfId="0" applyNumberFormat="1" applyFont="1" applyFill="1" applyBorder="1" applyAlignment="1">
      <alignment horizontal="center" vertical="top" wrapText="1"/>
    </xf>
    <xf numFmtId="164" fontId="5" fillId="0" borderId="1" xfId="0" applyNumberFormat="1" applyFont="1" applyFill="1" applyBorder="1" applyAlignment="1">
      <alignment horizontal="left" vertical="top" wrapText="1"/>
    </xf>
    <xf numFmtId="41" fontId="5" fillId="0" borderId="5" xfId="0" applyNumberFormat="1" applyFont="1" applyBorder="1" applyAlignment="1">
      <alignment horizontal="center" vertical="top"/>
    </xf>
    <xf numFmtId="41" fontId="5" fillId="7" borderId="6" xfId="0" applyNumberFormat="1" applyFont="1" applyFill="1" applyBorder="1" applyAlignment="1">
      <alignment vertical="top"/>
    </xf>
    <xf numFmtId="0" fontId="5" fillId="0" borderId="5" xfId="0" applyFont="1" applyBorder="1" applyAlignment="1">
      <alignment vertical="top"/>
    </xf>
    <xf numFmtId="41" fontId="20" fillId="9" borderId="5" xfId="0" applyNumberFormat="1" applyFont="1" applyFill="1" applyBorder="1" applyAlignment="1">
      <alignment vertical="top"/>
    </xf>
    <xf numFmtId="0" fontId="5" fillId="11" borderId="5" xfId="0" applyFont="1" applyFill="1" applyBorder="1" applyAlignment="1">
      <alignment horizontal="left" vertical="top" wrapText="1"/>
    </xf>
    <xf numFmtId="0" fontId="5" fillId="11" borderId="6" xfId="0" applyFont="1" applyFill="1" applyBorder="1" applyAlignment="1">
      <alignment horizontal="center" vertical="top"/>
    </xf>
    <xf numFmtId="0" fontId="5" fillId="11" borderId="5" xfId="0" applyFont="1" applyFill="1" applyBorder="1" applyAlignment="1">
      <alignment horizontal="center" vertical="top" wrapText="1"/>
    </xf>
    <xf numFmtId="14" fontId="12" fillId="0" borderId="6" xfId="4" applyNumberFormat="1" applyBorder="1" applyAlignment="1">
      <alignment horizontal="center" vertical="top"/>
    </xf>
    <xf numFmtId="41" fontId="5" fillId="9" borderId="6" xfId="0" applyNumberFormat="1" applyFont="1" applyFill="1" applyBorder="1" applyAlignment="1">
      <alignment horizontal="center" vertical="top"/>
    </xf>
    <xf numFmtId="165" fontId="0" fillId="0" borderId="0" xfId="0" applyNumberFormat="1" applyFill="1"/>
    <xf numFmtId="41" fontId="20" fillId="9"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0" fontId="5" fillId="0" borderId="6" xfId="0" applyFont="1" applyBorder="1" applyAlignment="1">
      <alignment horizontal="center" vertical="top"/>
    </xf>
    <xf numFmtId="14" fontId="5" fillId="0" borderId="6" xfId="0" applyNumberFormat="1" applyFont="1" applyBorder="1" applyAlignment="1">
      <alignment horizontal="center" vertical="top"/>
    </xf>
    <xf numFmtId="41" fontId="5" fillId="3" borderId="6" xfId="0" applyNumberFormat="1" applyFont="1" applyFill="1" applyBorder="1" applyAlignment="1">
      <alignment horizontal="center" vertical="top"/>
    </xf>
    <xf numFmtId="5" fontId="5" fillId="0" borderId="6" xfId="0" applyNumberFormat="1" applyFont="1" applyFill="1" applyBorder="1" applyAlignment="1">
      <alignment horizontal="center" vertical="top" wrapText="1"/>
    </xf>
    <xf numFmtId="14" fontId="12" fillId="0" borderId="6" xfId="4" applyNumberFormat="1" applyBorder="1" applyAlignment="1">
      <alignment horizontal="center" vertical="top"/>
    </xf>
    <xf numFmtId="41" fontId="20" fillId="9"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0" fontId="5" fillId="0" borderId="6" xfId="0" applyFont="1" applyBorder="1" applyAlignment="1">
      <alignment horizontal="center" vertical="top"/>
    </xf>
    <xf numFmtId="14" fontId="5" fillId="0" borderId="6" xfId="0" applyNumberFormat="1" applyFont="1" applyBorder="1" applyAlignment="1">
      <alignment horizontal="center" vertical="top"/>
    </xf>
    <xf numFmtId="41" fontId="5" fillId="3" borderId="6" xfId="0" applyNumberFormat="1" applyFont="1" applyFill="1" applyBorder="1" applyAlignment="1">
      <alignment horizontal="center" vertical="top"/>
    </xf>
    <xf numFmtId="0" fontId="5" fillId="0" borderId="6" xfId="0" applyFont="1" applyFill="1" applyBorder="1" applyAlignment="1">
      <alignment horizontal="center" vertical="top"/>
    </xf>
    <xf numFmtId="5" fontId="5" fillId="0" borderId="6" xfId="0" applyNumberFormat="1" applyFont="1" applyFill="1" applyBorder="1" applyAlignment="1">
      <alignment horizontal="center" vertical="top" wrapText="1"/>
    </xf>
    <xf numFmtId="41" fontId="5" fillId="0" borderId="6" xfId="0" applyNumberFormat="1" applyFont="1" applyBorder="1" applyAlignment="1">
      <alignment horizontal="center" vertical="top"/>
    </xf>
    <xf numFmtId="41" fontId="5" fillId="0" borderId="6" xfId="0" applyNumberFormat="1" applyFont="1" applyFill="1" applyBorder="1" applyAlignment="1">
      <alignment horizontal="center" vertical="top"/>
    </xf>
    <xf numFmtId="41" fontId="5" fillId="7" borderId="6" xfId="0" applyNumberFormat="1" applyFont="1" applyFill="1" applyBorder="1" applyAlignment="1">
      <alignment horizontal="center" vertical="top"/>
    </xf>
    <xf numFmtId="14" fontId="12" fillId="0" borderId="6" xfId="4" applyNumberFormat="1" applyBorder="1" applyAlignment="1">
      <alignment horizontal="center" vertical="top"/>
    </xf>
    <xf numFmtId="0" fontId="5" fillId="11" borderId="6" xfId="0" applyFont="1" applyFill="1" applyBorder="1" applyAlignment="1">
      <alignment horizontal="center" vertical="top" wrapText="1"/>
    </xf>
    <xf numFmtId="0" fontId="5" fillId="11" borderId="6" xfId="0" applyFont="1" applyFill="1" applyBorder="1" applyAlignment="1">
      <alignment vertical="top" wrapText="1"/>
    </xf>
    <xf numFmtId="0" fontId="5" fillId="11" borderId="6" xfId="0" applyFont="1" applyFill="1" applyBorder="1" applyAlignment="1">
      <alignment vertical="top"/>
    </xf>
    <xf numFmtId="41" fontId="5" fillId="9" borderId="6" xfId="0" applyNumberFormat="1" applyFont="1" applyFill="1" applyBorder="1" applyAlignment="1">
      <alignment horizontal="center" vertical="top"/>
    </xf>
    <xf numFmtId="0" fontId="5" fillId="0" borderId="6" xfId="0" applyFont="1" applyFill="1" applyBorder="1" applyAlignment="1">
      <alignment horizontal="left" vertical="top" wrapText="1"/>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5" fillId="3"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5" fillId="3" borderId="6" xfId="0" applyNumberFormat="1" applyFont="1" applyFill="1" applyBorder="1" applyAlignment="1">
      <alignment horizontal="center" vertical="top"/>
    </xf>
    <xf numFmtId="0" fontId="5" fillId="0" borderId="6" xfId="0" applyFont="1" applyFill="1" applyBorder="1" applyAlignment="1">
      <alignment horizontal="center" vertical="top"/>
    </xf>
    <xf numFmtId="5" fontId="5" fillId="0" borderId="6" xfId="0" applyNumberFormat="1" applyFont="1" applyFill="1" applyBorder="1" applyAlignment="1">
      <alignment horizontal="center" vertical="top" wrapText="1"/>
    </xf>
    <xf numFmtId="41" fontId="5" fillId="0" borderId="6" xfId="0" applyNumberFormat="1" applyFont="1" applyFill="1" applyBorder="1" applyAlignment="1">
      <alignment horizontal="center" vertical="top"/>
    </xf>
    <xf numFmtId="0" fontId="5" fillId="0" borderId="6" xfId="0" applyFont="1" applyBorder="1" applyAlignment="1">
      <alignment vertical="top"/>
    </xf>
    <xf numFmtId="0" fontId="5" fillId="0" borderId="6" xfId="0" applyFont="1" applyBorder="1" applyAlignment="1">
      <alignment horizontal="center" vertical="top" wrapText="1"/>
    </xf>
    <xf numFmtId="14" fontId="10" fillId="0" borderId="6" xfId="4" applyNumberFormat="1" applyFont="1" applyBorder="1" applyAlignment="1">
      <alignment horizontal="center" vertical="top"/>
    </xf>
    <xf numFmtId="41" fontId="5" fillId="9" borderId="6" xfId="0" quotePrefix="1" applyNumberFormat="1" applyFont="1" applyFill="1" applyBorder="1" applyAlignment="1">
      <alignment horizontal="center" vertical="top"/>
    </xf>
    <xf numFmtId="165" fontId="23" fillId="0" borderId="0" xfId="0" applyNumberFormat="1" applyFont="1" applyFill="1"/>
    <xf numFmtId="0" fontId="5" fillId="0" borderId="6" xfId="0" applyFont="1" applyFill="1" applyBorder="1" applyAlignment="1">
      <alignment horizontal="left" vertical="top" wrapText="1"/>
    </xf>
    <xf numFmtId="41" fontId="5" fillId="3" borderId="6" xfId="0" applyNumberFormat="1" applyFont="1" applyFill="1" applyBorder="1" applyAlignment="1">
      <alignment horizontal="center" vertical="top"/>
    </xf>
    <xf numFmtId="0" fontId="5" fillId="0" borderId="6" xfId="0" applyFont="1" applyFill="1" applyBorder="1" applyAlignment="1">
      <alignment horizontal="center" vertical="top"/>
    </xf>
    <xf numFmtId="41" fontId="5" fillId="0" borderId="6" xfId="0" applyNumberFormat="1" applyFont="1" applyFill="1" applyBorder="1" applyAlignment="1">
      <alignment horizontal="center" vertical="top"/>
    </xf>
    <xf numFmtId="41" fontId="5" fillId="0" borderId="6" xfId="0" applyNumberFormat="1" applyFont="1" applyFill="1" applyBorder="1" applyAlignment="1">
      <alignment horizontal="center" vertical="top"/>
    </xf>
    <xf numFmtId="2" fontId="6" fillId="0" borderId="6" xfId="8" applyNumberFormat="1" applyFont="1" applyFill="1" applyBorder="1" applyAlignment="1">
      <alignment horizontal="center" vertical="top" wrapText="1"/>
    </xf>
    <xf numFmtId="41" fontId="5" fillId="0" borderId="5" xfId="0" applyNumberFormat="1" applyFont="1" applyFill="1" applyBorder="1" applyAlignment="1">
      <alignment horizontal="center" vertical="top"/>
    </xf>
    <xf numFmtId="41" fontId="5" fillId="0" borderId="6" xfId="0" applyNumberFormat="1" applyFont="1" applyFill="1" applyBorder="1" applyAlignment="1">
      <alignment horizontal="center" vertical="top"/>
    </xf>
    <xf numFmtId="41" fontId="5" fillId="3" borderId="6" xfId="0" applyNumberFormat="1" applyFont="1" applyFill="1" applyBorder="1" applyAlignment="1">
      <alignment horizontal="center" vertical="top"/>
    </xf>
    <xf numFmtId="41" fontId="5" fillId="9" borderId="6" xfId="0" quotePrefix="1"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0" fontId="5" fillId="0" borderId="6" xfId="0" applyFont="1" applyBorder="1" applyAlignment="1">
      <alignment vertical="top"/>
    </xf>
    <xf numFmtId="0" fontId="5" fillId="0" borderId="6" xfId="0" applyFont="1" applyBorder="1" applyAlignment="1">
      <alignment horizontal="center" vertical="top" wrapText="1"/>
    </xf>
    <xf numFmtId="0" fontId="5" fillId="0" borderId="6" xfId="0" applyFont="1" applyBorder="1" applyAlignment="1">
      <alignment horizontal="center" vertical="top"/>
    </xf>
    <xf numFmtId="14" fontId="5" fillId="0" borderId="6" xfId="0" applyNumberFormat="1" applyFont="1" applyBorder="1" applyAlignment="1">
      <alignment horizontal="center" vertical="top"/>
    </xf>
    <xf numFmtId="14" fontId="10" fillId="0" borderId="6" xfId="2" applyNumberFormat="1" applyBorder="1" applyAlignment="1">
      <alignment horizontal="center" vertical="top"/>
    </xf>
    <xf numFmtId="0" fontId="5" fillId="0" borderId="6" xfId="0" applyFont="1" applyFill="1" applyBorder="1" applyAlignment="1">
      <alignment horizontal="center" vertical="top"/>
    </xf>
    <xf numFmtId="0" fontId="5" fillId="0" borderId="6" xfId="0" applyFont="1" applyBorder="1" applyAlignment="1">
      <alignment horizontal="right" vertical="top"/>
    </xf>
    <xf numFmtId="5" fontId="5" fillId="0" borderId="6" xfId="0" applyNumberFormat="1" applyFont="1" applyFill="1" applyBorder="1" applyAlignment="1">
      <alignment horizontal="center" vertical="top" wrapText="1"/>
    </xf>
    <xf numFmtId="41" fontId="5" fillId="0" borderId="6" xfId="0" applyNumberFormat="1" applyFont="1" applyBorder="1" applyAlignment="1">
      <alignment horizontal="center" vertical="top"/>
    </xf>
    <xf numFmtId="41" fontId="5" fillId="0" borderId="6" xfId="0" applyNumberFormat="1" applyFont="1" applyFill="1" applyBorder="1" applyAlignment="1">
      <alignment horizontal="center" vertical="top"/>
    </xf>
    <xf numFmtId="41" fontId="5" fillId="7"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20" fillId="9" borderId="6" xfId="0" applyNumberFormat="1" applyFont="1" applyFill="1" applyBorder="1" applyAlignment="1">
      <alignment horizontal="center" vertical="top"/>
    </xf>
    <xf numFmtId="165" fontId="23" fillId="3" borderId="0" xfId="0" applyNumberFormat="1" applyFont="1" applyFill="1"/>
    <xf numFmtId="41" fontId="5" fillId="9" borderId="6" xfId="0" applyNumberFormat="1" applyFont="1" applyFill="1" applyBorder="1" applyAlignment="1">
      <alignment horizontal="center" vertical="top"/>
    </xf>
    <xf numFmtId="41" fontId="5" fillId="0" borderId="6" xfId="0" applyNumberFormat="1" applyFont="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5" fillId="3" borderId="6" xfId="0" applyNumberFormat="1" applyFont="1" applyFill="1" applyBorder="1" applyAlignment="1">
      <alignment horizontal="center" vertical="top"/>
    </xf>
    <xf numFmtId="5" fontId="5" fillId="0" borderId="6" xfId="0" applyNumberFormat="1" applyFont="1" applyFill="1" applyBorder="1" applyAlignment="1">
      <alignment horizontal="center" vertical="top" wrapText="1"/>
    </xf>
    <xf numFmtId="41" fontId="5" fillId="0" borderId="6" xfId="0" applyNumberFormat="1" applyFont="1" applyFill="1" applyBorder="1" applyAlignment="1">
      <alignment horizontal="center" vertical="top"/>
    </xf>
    <xf numFmtId="41" fontId="20" fillId="9" borderId="6" xfId="0" applyNumberFormat="1" applyFont="1" applyFill="1" applyBorder="1" applyAlignment="1">
      <alignment horizontal="center" vertical="top"/>
    </xf>
    <xf numFmtId="0" fontId="5" fillId="0" borderId="6" xfId="0" applyFont="1" applyFill="1" applyBorder="1" applyAlignment="1">
      <alignment horizontal="center" vertical="top"/>
    </xf>
    <xf numFmtId="41" fontId="5" fillId="0" borderId="6" xfId="0" applyNumberFormat="1" applyFont="1" applyFill="1" applyBorder="1" applyAlignment="1">
      <alignment horizontal="center" vertical="top"/>
    </xf>
    <xf numFmtId="14" fontId="10" fillId="0" borderId="1" xfId="4" applyNumberFormat="1" applyFont="1" applyBorder="1" applyAlignment="1">
      <alignment horizontal="center" vertical="top"/>
    </xf>
    <xf numFmtId="0" fontId="5" fillId="0" borderId="6" xfId="0" applyFont="1" applyFill="1" applyBorder="1" applyAlignment="1">
      <alignment horizontal="left" vertical="top" wrapText="1"/>
    </xf>
    <xf numFmtId="41" fontId="5" fillId="0" borderId="1" xfId="0" applyNumberFormat="1" applyFont="1" applyBorder="1" applyAlignment="1">
      <alignment horizontal="center" vertical="top"/>
    </xf>
    <xf numFmtId="41" fontId="5" fillId="0" borderId="5" xfId="0" applyNumberFormat="1" applyFont="1" applyBorder="1" applyAlignment="1">
      <alignment horizontal="center" vertical="top"/>
    </xf>
    <xf numFmtId="0" fontId="1" fillId="0" borderId="4" xfId="0" applyFont="1" applyBorder="1" applyAlignment="1">
      <alignment horizontal="center" wrapText="1"/>
    </xf>
    <xf numFmtId="41" fontId="1" fillId="7" borderId="2" xfId="0" applyNumberFormat="1" applyFont="1" applyFill="1" applyBorder="1" applyAlignment="1">
      <alignment horizontal="center" wrapText="1"/>
    </xf>
    <xf numFmtId="41" fontId="1" fillId="7" borderId="2" xfId="0" applyNumberFormat="1" applyFont="1" applyFill="1" applyBorder="1" applyAlignment="1">
      <alignment wrapText="1"/>
    </xf>
    <xf numFmtId="0" fontId="1" fillId="7" borderId="2" xfId="0" applyFont="1" applyFill="1" applyBorder="1" applyAlignment="1">
      <alignment wrapText="1"/>
    </xf>
    <xf numFmtId="41" fontId="1" fillId="4" borderId="2" xfId="0" applyNumberFormat="1" applyFont="1" applyFill="1" applyBorder="1" applyAlignment="1">
      <alignment horizontal="center" wrapText="1"/>
    </xf>
    <xf numFmtId="41" fontId="0" fillId="4" borderId="2" xfId="0" applyNumberFormat="1" applyFill="1" applyBorder="1" applyAlignment="1">
      <alignment wrapText="1"/>
    </xf>
    <xf numFmtId="0" fontId="0" fillId="4" borderId="2" xfId="0" applyFill="1" applyBorder="1" applyAlignment="1">
      <alignment wrapText="1"/>
    </xf>
    <xf numFmtId="41" fontId="0" fillId="0" borderId="0" xfId="0" applyNumberFormat="1" applyFill="1" applyAlignment="1">
      <alignment vertical="center" wrapText="1"/>
    </xf>
    <xf numFmtId="0" fontId="5" fillId="0" borderId="1" xfId="0" applyFont="1" applyFill="1" applyBorder="1" applyAlignment="1">
      <alignment horizontal="center" vertical="top"/>
    </xf>
    <xf numFmtId="0" fontId="5" fillId="0" borderId="5" xfId="0" applyFont="1" applyFill="1" applyBorder="1" applyAlignment="1">
      <alignment horizontal="center" vertical="top"/>
    </xf>
    <xf numFmtId="0" fontId="5" fillId="0" borderId="1" xfId="0" applyFont="1" applyBorder="1" applyAlignment="1">
      <alignment horizontal="right" vertical="top"/>
    </xf>
    <xf numFmtId="0" fontId="5" fillId="0" borderId="5" xfId="0" applyFont="1" applyBorder="1" applyAlignment="1">
      <alignment horizontal="right" vertical="top"/>
    </xf>
    <xf numFmtId="5" fontId="5" fillId="0" borderId="1" xfId="0" applyNumberFormat="1" applyFont="1" applyFill="1" applyBorder="1" applyAlignment="1">
      <alignment horizontal="center" vertical="top" wrapText="1"/>
    </xf>
    <xf numFmtId="5" fontId="5" fillId="0" borderId="5" xfId="0" applyNumberFormat="1" applyFont="1" applyFill="1" applyBorder="1" applyAlignment="1">
      <alignment horizontal="center" vertical="top" wrapText="1"/>
    </xf>
    <xf numFmtId="164" fontId="5" fillId="0" borderId="1" xfId="0" applyNumberFormat="1" applyFont="1" applyFill="1" applyBorder="1" applyAlignment="1">
      <alignment horizontal="left" vertical="top" wrapText="1"/>
    </xf>
    <xf numFmtId="164" fontId="5" fillId="0" borderId="5" xfId="0" applyNumberFormat="1" applyFont="1" applyFill="1" applyBorder="1" applyAlignment="1">
      <alignment horizontal="left" vertical="top" wrapText="1"/>
    </xf>
    <xf numFmtId="41" fontId="5" fillId="0" borderId="1" xfId="0" applyNumberFormat="1" applyFont="1" applyFill="1" applyBorder="1" applyAlignment="1">
      <alignment horizontal="center" vertical="top"/>
    </xf>
    <xf numFmtId="41" fontId="5" fillId="0" borderId="5" xfId="0" applyNumberFormat="1" applyFont="1" applyFill="1" applyBorder="1" applyAlignment="1">
      <alignment horizontal="center" vertical="top"/>
    </xf>
    <xf numFmtId="41" fontId="5" fillId="3" borderId="1" xfId="0" applyNumberFormat="1" applyFont="1" applyFill="1" applyBorder="1" applyAlignment="1">
      <alignment horizontal="center" vertical="top"/>
    </xf>
    <xf numFmtId="41" fontId="5" fillId="3" borderId="5" xfId="0" applyNumberFormat="1" applyFont="1" applyFill="1" applyBorder="1" applyAlignment="1">
      <alignment horizontal="center" vertical="top"/>
    </xf>
    <xf numFmtId="41" fontId="5" fillId="3" borderId="6" xfId="0" applyNumberFormat="1" applyFont="1" applyFill="1" applyBorder="1" applyAlignment="1">
      <alignment horizontal="center" vertical="top"/>
    </xf>
    <xf numFmtId="41" fontId="5" fillId="9" borderId="6" xfId="0" quotePrefix="1" applyNumberFormat="1" applyFont="1" applyFill="1" applyBorder="1" applyAlignment="1">
      <alignment horizontal="center" vertical="top"/>
    </xf>
    <xf numFmtId="41" fontId="5" fillId="9" borderId="7" xfId="0" quotePrefix="1"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5" fillId="9" borderId="7"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4" fillId="4" borderId="7" xfId="0" applyNumberFormat="1" applyFont="1" applyFill="1" applyBorder="1" applyAlignment="1">
      <alignment horizontal="center" vertical="top"/>
    </xf>
    <xf numFmtId="0" fontId="5" fillId="0" borderId="6" xfId="0" applyFont="1" applyBorder="1" applyAlignment="1">
      <alignment vertical="top"/>
    </xf>
    <xf numFmtId="0" fontId="5" fillId="0" borderId="6" xfId="0" applyFont="1" applyBorder="1" applyAlignment="1">
      <alignment horizontal="center" vertical="top" wrapText="1"/>
    </xf>
    <xf numFmtId="0" fontId="5" fillId="0" borderId="6" xfId="0" applyFont="1" applyBorder="1" applyAlignment="1">
      <alignment horizontal="center" vertical="top"/>
    </xf>
    <xf numFmtId="0" fontId="5" fillId="0" borderId="7" xfId="0" applyFont="1" applyBorder="1" applyAlignment="1">
      <alignment horizontal="center" vertical="top"/>
    </xf>
    <xf numFmtId="14" fontId="5" fillId="0" borderId="6" xfId="0" applyNumberFormat="1" applyFont="1" applyBorder="1" applyAlignment="1">
      <alignment horizontal="center" vertical="top"/>
    </xf>
    <xf numFmtId="14" fontId="5" fillId="0" borderId="7" xfId="0" applyNumberFormat="1" applyFont="1" applyBorder="1" applyAlignment="1">
      <alignment horizontal="center" vertical="top"/>
    </xf>
    <xf numFmtId="14" fontId="10" fillId="0" borderId="6" xfId="2" applyNumberFormat="1" applyBorder="1" applyAlignment="1">
      <alignment horizontal="center" vertical="top"/>
    </xf>
    <xf numFmtId="14" fontId="10" fillId="0" borderId="7" xfId="2" applyNumberFormat="1" applyBorder="1" applyAlignment="1">
      <alignment horizontal="center" vertical="top"/>
    </xf>
    <xf numFmtId="0" fontId="5" fillId="0" borderId="6" xfId="0" applyFont="1" applyFill="1" applyBorder="1" applyAlignment="1">
      <alignment horizontal="center" vertical="top"/>
    </xf>
    <xf numFmtId="0" fontId="5" fillId="0" borderId="7" xfId="0" applyFont="1" applyFill="1" applyBorder="1" applyAlignment="1">
      <alignment horizontal="center" vertical="top"/>
    </xf>
    <xf numFmtId="0" fontId="5" fillId="0" borderId="6" xfId="0" applyFont="1" applyBorder="1" applyAlignment="1">
      <alignment horizontal="right" vertical="top"/>
    </xf>
    <xf numFmtId="0" fontId="5" fillId="0" borderId="7" xfId="0" applyFont="1" applyBorder="1" applyAlignment="1">
      <alignment horizontal="right" vertical="top"/>
    </xf>
    <xf numFmtId="5" fontId="5" fillId="0" borderId="6" xfId="0" applyNumberFormat="1" applyFont="1" applyFill="1" applyBorder="1" applyAlignment="1">
      <alignment horizontal="center" vertical="top" wrapText="1"/>
    </xf>
    <xf numFmtId="5" fontId="5" fillId="0" borderId="7" xfId="0" applyNumberFormat="1" applyFont="1" applyFill="1" applyBorder="1" applyAlignment="1">
      <alignment horizontal="center" vertical="top" wrapText="1"/>
    </xf>
    <xf numFmtId="41" fontId="5" fillId="0" borderId="6" xfId="0" applyNumberFormat="1" applyFont="1" applyBorder="1" applyAlignment="1">
      <alignment horizontal="center" vertical="top"/>
    </xf>
    <xf numFmtId="41" fontId="5" fillId="0" borderId="7" xfId="0" applyNumberFormat="1" applyFont="1" applyBorder="1" applyAlignment="1">
      <alignment horizontal="center" vertical="top"/>
    </xf>
    <xf numFmtId="41" fontId="5" fillId="0" borderId="6" xfId="0" applyNumberFormat="1" applyFont="1" applyFill="1" applyBorder="1" applyAlignment="1">
      <alignment horizontal="center" vertical="top"/>
    </xf>
    <xf numFmtId="41" fontId="5" fillId="0" borderId="7" xfId="0" applyNumberFormat="1" applyFont="1" applyFill="1" applyBorder="1" applyAlignment="1">
      <alignment horizontal="center" vertical="top"/>
    </xf>
    <xf numFmtId="41" fontId="5" fillId="3" borderId="7" xfId="0" applyNumberFormat="1" applyFont="1" applyFill="1" applyBorder="1" applyAlignment="1">
      <alignment horizontal="center" vertical="top"/>
    </xf>
    <xf numFmtId="41" fontId="5" fillId="7" borderId="6" xfId="0" applyNumberFormat="1" applyFont="1" applyFill="1" applyBorder="1" applyAlignment="1">
      <alignment horizontal="center" vertical="top"/>
    </xf>
    <xf numFmtId="41" fontId="5" fillId="7" borderId="7" xfId="0" applyNumberFormat="1" applyFont="1" applyFill="1" applyBorder="1" applyAlignment="1">
      <alignment horizontal="center" vertical="top"/>
    </xf>
    <xf numFmtId="0" fontId="5" fillId="0" borderId="1" xfId="0" applyFont="1" applyBorder="1" applyAlignment="1">
      <alignment vertical="top"/>
    </xf>
    <xf numFmtId="0" fontId="5" fillId="0" borderId="5" xfId="0" applyFont="1" applyBorder="1" applyAlignment="1">
      <alignment vertical="top"/>
    </xf>
    <xf numFmtId="0" fontId="5" fillId="0" borderId="7"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7" xfId="0" applyFont="1" applyFill="1" applyBorder="1" applyAlignment="1">
      <alignment horizontal="center" vertical="top" wrapText="1"/>
    </xf>
    <xf numFmtId="0" fontId="5" fillId="0" borderId="1" xfId="0" applyFont="1" applyFill="1" applyBorder="1" applyAlignment="1">
      <alignment horizontal="center" vertical="top" wrapText="1"/>
    </xf>
    <xf numFmtId="0" fontId="5" fillId="0" borderId="5" xfId="0" applyFont="1" applyFill="1" applyBorder="1" applyAlignment="1">
      <alignment horizontal="center" vertical="top" wrapText="1"/>
    </xf>
    <xf numFmtId="41" fontId="20" fillId="9" borderId="6" xfId="0" applyNumberFormat="1" applyFont="1" applyFill="1" applyBorder="1" applyAlignment="1">
      <alignment horizontal="center" vertical="top"/>
    </xf>
    <xf numFmtId="41" fontId="20" fillId="9" borderId="7" xfId="0" applyNumberFormat="1" applyFont="1" applyFill="1" applyBorder="1" applyAlignment="1">
      <alignment horizontal="center" vertical="top"/>
    </xf>
    <xf numFmtId="41" fontId="20" fillId="9" borderId="1" xfId="0" applyNumberFormat="1" applyFont="1" applyFill="1" applyBorder="1" applyAlignment="1">
      <alignment vertical="top"/>
    </xf>
    <xf numFmtId="41" fontId="20" fillId="9" borderId="5" xfId="0" applyNumberFormat="1" applyFont="1" applyFill="1" applyBorder="1" applyAlignment="1">
      <alignment vertical="top"/>
    </xf>
    <xf numFmtId="41" fontId="4" fillId="6" borderId="1" xfId="0" applyNumberFormat="1" applyFont="1" applyFill="1" applyBorder="1" applyAlignment="1">
      <alignment horizontal="center" vertical="top"/>
    </xf>
    <xf numFmtId="41" fontId="4" fillId="6" borderId="5"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4" fillId="6" borderId="7" xfId="0" applyNumberFormat="1" applyFont="1" applyFill="1" applyBorder="1" applyAlignment="1">
      <alignment horizontal="center" vertical="top"/>
    </xf>
    <xf numFmtId="41" fontId="5" fillId="7" borderId="1" xfId="0" applyNumberFormat="1" applyFont="1" applyFill="1" applyBorder="1" applyAlignment="1">
      <alignment vertical="top"/>
    </xf>
    <xf numFmtId="41" fontId="5" fillId="7" borderId="5" xfId="0" applyNumberFormat="1" applyFont="1" applyFill="1" applyBorder="1" applyAlignment="1">
      <alignment vertical="top"/>
    </xf>
    <xf numFmtId="41" fontId="4" fillId="4" borderId="1" xfId="0" applyNumberFormat="1" applyFont="1" applyFill="1" applyBorder="1" applyAlignment="1">
      <alignment horizontal="center" vertical="top"/>
    </xf>
    <xf numFmtId="41" fontId="4" fillId="4" borderId="5" xfId="0" applyNumberFormat="1" applyFont="1" applyFill="1" applyBorder="1" applyAlignment="1">
      <alignment horizontal="center" vertical="top"/>
    </xf>
    <xf numFmtId="41" fontId="5" fillId="9" borderId="1" xfId="0" quotePrefix="1" applyNumberFormat="1" applyFont="1" applyFill="1" applyBorder="1" applyAlignment="1">
      <alignment vertical="top"/>
    </xf>
    <xf numFmtId="41" fontId="5" fillId="9" borderId="5" xfId="0" quotePrefix="1" applyNumberFormat="1" applyFont="1" applyFill="1" applyBorder="1" applyAlignment="1">
      <alignment vertical="top"/>
    </xf>
    <xf numFmtId="41" fontId="5" fillId="9" borderId="1" xfId="0" applyNumberFormat="1" applyFont="1" applyFill="1" applyBorder="1" applyAlignment="1">
      <alignment vertical="top"/>
    </xf>
    <xf numFmtId="41" fontId="5" fillId="9" borderId="5" xfId="0" applyNumberFormat="1" applyFont="1" applyFill="1" applyBorder="1" applyAlignment="1">
      <alignment vertical="top"/>
    </xf>
    <xf numFmtId="41" fontId="5" fillId="9" borderId="1" xfId="0" applyNumberFormat="1" applyFont="1" applyFill="1" applyBorder="1" applyAlignment="1">
      <alignment horizontal="center" vertical="top"/>
    </xf>
    <xf numFmtId="41" fontId="5" fillId="9" borderId="5" xfId="0" applyNumberFormat="1" applyFont="1" applyFill="1" applyBorder="1" applyAlignment="1">
      <alignment horizontal="center" vertical="top"/>
    </xf>
    <xf numFmtId="41" fontId="5" fillId="7" borderId="6" xfId="0" applyNumberFormat="1" applyFont="1" applyFill="1" applyBorder="1" applyAlignment="1">
      <alignment vertical="top"/>
    </xf>
  </cellXfs>
  <cellStyles count="9">
    <cellStyle name="Currency" xfId="5" builtinId="4"/>
    <cellStyle name="Hyperlink" xfId="4" builtinId="8"/>
    <cellStyle name="Hyperlink 2" xfId="2" xr:uid="{00000000-0005-0000-0000-000003000000}"/>
    <cellStyle name="Hyperlink 3" xfId="1" xr:uid="{00000000-0005-0000-0000-000004000000}"/>
    <cellStyle name="Normal" xfId="0" builtinId="0"/>
    <cellStyle name="Normal 2" xfId="3" xr:uid="{00000000-0005-0000-0000-000006000000}"/>
    <cellStyle name="Normal 3" xfId="6" xr:uid="{00000000-0005-0000-0000-000007000000}"/>
    <cellStyle name="Normal 4" xfId="7" xr:uid="{00000000-0005-0000-0000-000008000000}"/>
    <cellStyle name="Percent" xfId="8" builtinId="5"/>
  </cellStyles>
  <dxfs count="0"/>
  <tableStyles count="0" defaultTableStyle="TableStyleMedium9" defaultPivotStyle="PivotStyleMedium4"/>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chattanooga.gov/city-council-files/OrdinancesAndResolutions/Resolutions/Resolutions%202015/28301%20PILOT%20Expansion%20Gestamp.pdf" TargetMode="External"/><Relationship Id="rId21" Type="http://schemas.openxmlformats.org/officeDocument/2006/relationships/hyperlink" Target="http://resolutions.hamiltontn.gov/resolutions/2006/1006-36.pdf" TargetMode="External"/><Relationship Id="rId42" Type="http://schemas.openxmlformats.org/officeDocument/2006/relationships/hyperlink" Target="http://www.chattanooga.gov/city-council-files/OrdinancesAndResolutions/Resolutions/Resolutions%202016/28835%20PILOT%20Resolution%20Jaycee%20Tower%20City.pdf" TargetMode="External"/><Relationship Id="rId47" Type="http://schemas.openxmlformats.org/officeDocument/2006/relationships/hyperlink" Target="http://www.chattanooga.gov/city-council-files/OrdinancesAndResolutions/Resolutions/Resolutions%202015/28336%20PILOT%20Simpson%20Organization.pdf" TargetMode="External"/><Relationship Id="rId63" Type="http://schemas.openxmlformats.org/officeDocument/2006/relationships/hyperlink" Target="http://www.chattanooga.gov/city-council-files/OrdinancesAndResolutions/Resolutions/Resolutions%202019/30103%20TIF%20East%20Chattanooga%20-%20Tubman%20Site.pdf" TargetMode="External"/><Relationship Id="rId68" Type="http://schemas.openxmlformats.org/officeDocument/2006/relationships/hyperlink" Target="http://www.hamiltontn.gov/PDF/docs/SKM_C36820120312130.pdf" TargetMode="External"/><Relationship Id="rId84" Type="http://schemas.openxmlformats.org/officeDocument/2006/relationships/hyperlink" Target="https://chattanooga.gov/city-council-files/OrdinancesAndResolutions/Resolutions/Resolutions%202023/31836%20Economic%20Impact%20Plan%20The%20Bend.pdf" TargetMode="External"/><Relationship Id="rId89" Type="http://schemas.openxmlformats.org/officeDocument/2006/relationships/comments" Target="../comments1.xml"/><Relationship Id="rId16" Type="http://schemas.openxmlformats.org/officeDocument/2006/relationships/hyperlink" Target="http://resolutions.hamiltontn.gov/resolutions/2009/309-37.pdf" TargetMode="External"/><Relationship Id="rId11" Type="http://schemas.openxmlformats.org/officeDocument/2006/relationships/hyperlink" Target="http://www.chattanooga.gov/city-council-files/OrdinancesAndResolutions/Resolutions/Resolutions%202012/27336_PILOT_UTC_Two.pdf" TargetMode="External"/><Relationship Id="rId32" Type="http://schemas.openxmlformats.org/officeDocument/2006/relationships/hyperlink" Target="http://resolutions.hamiltontn.gov/resolutions/2009/1109-52.pdf" TargetMode="External"/><Relationship Id="rId37" Type="http://schemas.openxmlformats.org/officeDocument/2006/relationships/hyperlink" Target="http://www.chattanooga.gov/city-council-files/OrdinancesAndResolutions/Resolutions/Resolutions%202016/28501%20PILOT%20Yanfeng.pdf" TargetMode="External"/><Relationship Id="rId53" Type="http://schemas.openxmlformats.org/officeDocument/2006/relationships/hyperlink" Target="http://resolutions.hamiltontn.gov/resolutions/2017/1217-30.pdf" TargetMode="External"/><Relationship Id="rId58" Type="http://schemas.openxmlformats.org/officeDocument/2006/relationships/hyperlink" Target="http://resolutions.hamiltontn.gov/resolutions/2017/1117-27.pdf" TargetMode="External"/><Relationship Id="rId74" Type="http://schemas.openxmlformats.org/officeDocument/2006/relationships/hyperlink" Target="http://resolutions.hamiltontn.gov/resolutions/2020/1220-33.pdf" TargetMode="External"/><Relationship Id="rId79" Type="http://schemas.openxmlformats.org/officeDocument/2006/relationships/hyperlink" Target="https://chattanooga.gov/city-council-files/OrdinancesAndResolutions/Resolutions/Resolutions%202022/31194%20TIF%20South%20Broad%20District.pdf" TargetMode="External"/><Relationship Id="rId5" Type="http://schemas.openxmlformats.org/officeDocument/2006/relationships/hyperlink" Target="http://www.chattanooga.gov/city-council-files/OrdinancesAndResolutions/Resolutions/Resolutions%202008/25682%20Auth%20PILOT%20Agmt%20-%20RiverCity%20Company%20-%20Movie%20Theater.pdf" TargetMode="External"/><Relationship Id="rId14" Type="http://schemas.openxmlformats.org/officeDocument/2006/relationships/hyperlink" Target="http://resolutions.hamiltontn.gov/resolutions/2014/314-25.pdf" TargetMode="External"/><Relationship Id="rId22" Type="http://schemas.openxmlformats.org/officeDocument/2006/relationships/hyperlink" Target="http://resolutions.hamiltontn.gov/resolutions/2012/1212-21.pdf" TargetMode="External"/><Relationship Id="rId27" Type="http://schemas.openxmlformats.org/officeDocument/2006/relationships/hyperlink" Target="http://www.chattanooga.gov/city-council-files/OrdinancesAndResolutions/Resolutions/Resolutions%202015/28302%20PILOT%20NEW%20Gestamp%20North%20America.pdf" TargetMode="External"/><Relationship Id="rId30" Type="http://schemas.openxmlformats.org/officeDocument/2006/relationships/hyperlink" Target="http://resolutions.hamiltontn.gov/resolutions/2015/715-17.pdf" TargetMode="External"/><Relationship Id="rId35" Type="http://schemas.openxmlformats.org/officeDocument/2006/relationships/hyperlink" Target="http://resolutions.hamiltontn.gov/resolutions/2015/1015-20.pdf" TargetMode="External"/><Relationship Id="rId43" Type="http://schemas.openxmlformats.org/officeDocument/2006/relationships/hyperlink" Target="http://www.chattanooga.gov/city-council-files/OrdinancesAndResolutions/Resolutions/Resolutions%202017/29035%20PILOT%20HomeServ.pdf" TargetMode="External"/><Relationship Id="rId48" Type="http://schemas.openxmlformats.org/officeDocument/2006/relationships/hyperlink" Target="http://resolutions.hamiltontn.gov/resolutions/2015/815-19.pdf" TargetMode="External"/><Relationship Id="rId56" Type="http://schemas.openxmlformats.org/officeDocument/2006/relationships/hyperlink" Target="http://www.chattanooga.gov/city-council-files/OrdinancesAndResolutions/Resolutions/Resolutions%202018/29634%20PILOT%20-%20Ridgeway%20Apartments.pdf" TargetMode="External"/><Relationship Id="rId64" Type="http://schemas.openxmlformats.org/officeDocument/2006/relationships/hyperlink" Target="http://resolutions.hamiltontn.gov/resolutions/2019/1219-27.pdf" TargetMode="External"/><Relationship Id="rId69" Type="http://schemas.openxmlformats.org/officeDocument/2006/relationships/hyperlink" Target="http://resolutions.hamiltontn.gov/resolutions/2021/321-14.pdf" TargetMode="External"/><Relationship Id="rId77" Type="http://schemas.openxmlformats.org/officeDocument/2006/relationships/hyperlink" Target="https://chattanooga.gov/city-council-files/OrdinancesAndResolutions/Resolutions/Resolutions%202021/30660%20PILOT%20-%20The%20Reserve%20at%20Mountain%20Pass.pdf" TargetMode="External"/><Relationship Id="rId8" Type="http://schemas.openxmlformats.org/officeDocument/2006/relationships/hyperlink" Target="http://www.chattanooga.gov/city-council-files/OrdinancesAndResolutions/Resolutions/Resolutions%202014/27960%20Aut%20MOU%20for%20VW%20CrossBlue%20Project.pdf" TargetMode="External"/><Relationship Id="rId51" Type="http://schemas.openxmlformats.org/officeDocument/2006/relationships/hyperlink" Target="http://chattanooga.gov/city-council-files/OrdinancesAndResolutions/Resolutions/Resolutions%202018/29336%20Economic%20Impact%20Plan%20ML%20King%20v2.pdf" TargetMode="External"/><Relationship Id="rId72" Type="http://schemas.openxmlformats.org/officeDocument/2006/relationships/hyperlink" Target="http://resolutions.hamiltontn.gov/resolutions/2021/721-6.pdf" TargetMode="External"/><Relationship Id="rId80" Type="http://schemas.openxmlformats.org/officeDocument/2006/relationships/hyperlink" Target="https://chattanooga.gov/city-council-files/OrdinancesAndResolutions/Resolutions/Resolutions%202022/31115%202022.05.17%20TIF%20Access%20Road%20(North%20River%20Commerce%20Center)%20v2%20-%20mem.pdf" TargetMode="External"/><Relationship Id="rId85" Type="http://schemas.openxmlformats.org/officeDocument/2006/relationships/hyperlink" Target="https://chattanooga.gov/city-council-files/OrdinancesAndResolutions/Resolutions/Resolutions%202005/24361%20Authorize%20BlueCross%20BlueShield%20PILOT%20Agreement.pdf" TargetMode="External"/><Relationship Id="rId3" Type="http://schemas.openxmlformats.org/officeDocument/2006/relationships/hyperlink" Target="http://www.chattanooga.gov/city-council-files/OrdinancesAndResolutions/Resolutions/Resolutions%202014/27892%20PILOT%20Plastic%20Omnium.pdf" TargetMode="External"/><Relationship Id="rId12" Type="http://schemas.openxmlformats.org/officeDocument/2006/relationships/hyperlink" Target="http://www.chattanooga.gov/city-council-files/OrdinancesAndResolutions/Resolutions/Resolutions%202002/23253%20Downtown%20Housing%20Initiative%20.doc" TargetMode="External"/><Relationship Id="rId17" Type="http://schemas.openxmlformats.org/officeDocument/2006/relationships/hyperlink" Target="http://resolutions.hamiltontn.gov/resolutions/2008/1008-27.pdf" TargetMode="External"/><Relationship Id="rId25" Type="http://schemas.openxmlformats.org/officeDocument/2006/relationships/hyperlink" Target="http://resolutions.hamiltontn.gov/resolutions/2015/515-28.pdf" TargetMode="External"/><Relationship Id="rId33" Type="http://schemas.openxmlformats.org/officeDocument/2006/relationships/hyperlink" Target="http://resolutions.hamiltontn.gov/resolutions/2010/710-4.pdf" TargetMode="External"/><Relationship Id="rId38" Type="http://schemas.openxmlformats.org/officeDocument/2006/relationships/hyperlink" Target="http://resolutions.hamiltontn.gov/resolutions/2016/116-27.pdf" TargetMode="External"/><Relationship Id="rId46" Type="http://schemas.openxmlformats.org/officeDocument/2006/relationships/hyperlink" Target="http://www.chattanooga.gov/city-council-files/OrdinancesAndResolutions/Resolutions/Resolutions%202015/28139%20PILOT%20UTC%20Five.pdf" TargetMode="External"/><Relationship Id="rId59" Type="http://schemas.openxmlformats.org/officeDocument/2006/relationships/hyperlink" Target="http://www.chattanooga.gov/city-council-files/OrdinancesAndResolutions/Resolutions/Resolutions%202018/29744%20PILOT%20Patten%20Towers.pdf" TargetMode="External"/><Relationship Id="rId67" Type="http://schemas.openxmlformats.org/officeDocument/2006/relationships/hyperlink" Target="http://www.hamiltontn.gov/PDF/docs/SKM_C36820120312030.pdf" TargetMode="External"/><Relationship Id="rId20" Type="http://schemas.openxmlformats.org/officeDocument/2006/relationships/hyperlink" Target="http://resolutions.hamiltontn.gov/resolutions/2014/714-31.pdf" TargetMode="External"/><Relationship Id="rId41" Type="http://schemas.openxmlformats.org/officeDocument/2006/relationships/hyperlink" Target="http://resolutions.hamiltontn.gov/resolutions/2016/1216-8.pdf" TargetMode="External"/><Relationship Id="rId54" Type="http://schemas.openxmlformats.org/officeDocument/2006/relationships/hyperlink" Target="http://www.chattanooga.gov/city-council-files/OrdinancesAndResolutions/Resolutions/Resolutions%202017/29215%20PILOT%20Bayberry%20Apts%20v3.pdf" TargetMode="External"/><Relationship Id="rId62" Type="http://schemas.openxmlformats.org/officeDocument/2006/relationships/hyperlink" Target="http://www.chattanooga.gov/city-council-files/OrdinancesAndResolutions/Resolutions/Resolutions%202019/29847%20Amend%20PILOT%20for%20Gestamp%20$48%20million.pdf" TargetMode="External"/><Relationship Id="rId70" Type="http://schemas.openxmlformats.org/officeDocument/2006/relationships/hyperlink" Target="http://www.chattanooga.gov/city-council-files/OrdinancesAndResolutions/Resolutions/Resolutions%202021/30649%20PILOT%20-%20CNE-Mai%20Bell%202.pdf" TargetMode="External"/><Relationship Id="rId75" Type="http://schemas.openxmlformats.org/officeDocument/2006/relationships/hyperlink" Target="https://chattanooga.gov/city-council-files/OrdinancesAndResolutions/Resolutions/Resolutions%202021/30938%20PILOT%20-%20Steam%20Logistics.pdf" TargetMode="External"/><Relationship Id="rId83" Type="http://schemas.openxmlformats.org/officeDocument/2006/relationships/hyperlink" Target="https://resolutions.hamiltontn.gov/resolutions/2023/1123-4.pdf" TargetMode="External"/><Relationship Id="rId88" Type="http://schemas.openxmlformats.org/officeDocument/2006/relationships/vmlDrawing" Target="../drawings/vmlDrawing1.vml"/><Relationship Id="rId1" Type="http://schemas.openxmlformats.org/officeDocument/2006/relationships/hyperlink" Target="http://www.chattanooga.gov/city-council-files/OrdinancesAndResolutions/Resolutions/Resolutions%202014/27804%20Coca-Cola%20PILOT.pdf" TargetMode="External"/><Relationship Id="rId6" Type="http://schemas.openxmlformats.org/officeDocument/2006/relationships/hyperlink" Target="http://www.chattanooga.gov/city-council-files/OrdinancesAndResolutions/Resolutions/Resolutions%202014/28072%20PILOT%20Southern%20Champion.pdf" TargetMode="External"/><Relationship Id="rId15" Type="http://schemas.openxmlformats.org/officeDocument/2006/relationships/hyperlink" Target="http://resolutions.hamiltontn.gov/resolutions/2014/614-19.pdf" TargetMode="External"/><Relationship Id="rId23" Type="http://schemas.openxmlformats.org/officeDocument/2006/relationships/hyperlink" Target="http://resolutions.hamiltontn.gov/resolutions/2012/1212-20.pdf" TargetMode="External"/><Relationship Id="rId28" Type="http://schemas.openxmlformats.org/officeDocument/2006/relationships/hyperlink" Target="http://resolutions.hamiltontn.gov/resolutions/2015/715-15.pdf" TargetMode="External"/><Relationship Id="rId36" Type="http://schemas.openxmlformats.org/officeDocument/2006/relationships/hyperlink" Target="http://resolutions.hamiltontn.gov/resolutions/2015/1015-54.pdf" TargetMode="External"/><Relationship Id="rId49" Type="http://schemas.openxmlformats.org/officeDocument/2006/relationships/hyperlink" Target="http://resolutions.hamiltontn.gov/resolutions/2012/612-27.pdf" TargetMode="External"/><Relationship Id="rId57" Type="http://schemas.openxmlformats.org/officeDocument/2006/relationships/hyperlink" Target="http://www.chattanooga.gov/city-council-files/OrdinancesAndResolutions/Resolutions/Resolutions%202017/29248%20PILOT%20-%20M_M%20Industries.pdf" TargetMode="External"/><Relationship Id="rId10" Type="http://schemas.openxmlformats.org/officeDocument/2006/relationships/hyperlink" Target="http://www.chattanooga.gov/city-council-files/OrdinancesAndResolutions/Resolutions/Resolutions%202012/27337_PILOT_UTC_Three.pdf" TargetMode="External"/><Relationship Id="rId31" Type="http://schemas.openxmlformats.org/officeDocument/2006/relationships/hyperlink" Target="http://www.chattanooga.gov/city-council-files/OrdinancesAndResolutions/Resolutions/Resolutions%202015/28256%20PILOT%20The%20KORE%20Company.pdf" TargetMode="External"/><Relationship Id="rId44" Type="http://schemas.openxmlformats.org/officeDocument/2006/relationships/hyperlink" Target="http://resolutions.hamiltontn.gov/resolutions/2017/517-30.pdf" TargetMode="External"/><Relationship Id="rId52" Type="http://schemas.openxmlformats.org/officeDocument/2006/relationships/hyperlink" Target="http://www.chattanooga.gov/city-council-files/OrdinancesAndResolutions/Resolutions/Resolutions%202012/27143%20App%20Economic%20Impact%20Plan%20for%20Black%20Creek%20Mountain.pdf" TargetMode="External"/><Relationship Id="rId60" Type="http://schemas.openxmlformats.org/officeDocument/2006/relationships/hyperlink" Target="http://resolutions.hamiltontn.gov/resolutions/2019/119-16.pdf" TargetMode="External"/><Relationship Id="rId65" Type="http://schemas.openxmlformats.org/officeDocument/2006/relationships/hyperlink" Target="http://resolutions.hamiltontn.gov/resolutions/2020/320-25.pdf" TargetMode="External"/><Relationship Id="rId73" Type="http://schemas.openxmlformats.org/officeDocument/2006/relationships/hyperlink" Target="http://resolutions.hamiltontn.gov/resolutions/2021/421-30.pdf" TargetMode="External"/><Relationship Id="rId78" Type="http://schemas.openxmlformats.org/officeDocument/2006/relationships/hyperlink" Target="https://chattanooga.gov/city-council-files/OrdinancesAndResolutions/Resolutions/Resolutions%202020/30577%202020-12-02%20PILOT%20Resolution%20-%20Battery%20Heights.pdf" TargetMode="External"/><Relationship Id="rId81" Type="http://schemas.openxmlformats.org/officeDocument/2006/relationships/hyperlink" Target="http://resolutions.hamiltontn.gov/resolutions/2022/822-24.pdf" TargetMode="External"/><Relationship Id="rId86" Type="http://schemas.openxmlformats.org/officeDocument/2006/relationships/hyperlink" Target="https://resolutions.hamiltontn.gov/resolutions/2005/305-34.pdf" TargetMode="External"/><Relationship Id="rId4" Type="http://schemas.openxmlformats.org/officeDocument/2006/relationships/hyperlink" Target="http://www.chattanooga.gov/city-council-files/OrdinancesAndResolutions/Resolutions/Resolutions%202009/25843%20Auth%20PILOT%20Agmt%20-%20Provident.pdf" TargetMode="External"/><Relationship Id="rId9" Type="http://schemas.openxmlformats.org/officeDocument/2006/relationships/hyperlink" Target="http://www.chattanooga.gov/city-council-files/OrdinancesAndResolutions/Resolutions/Resolutions%202006/24923%20Auth%20Wrigley%20PILOT%20Agmt%20-%20County%20IDB.DOC" TargetMode="External"/><Relationship Id="rId13" Type="http://schemas.openxmlformats.org/officeDocument/2006/relationships/hyperlink" Target="http://resolutions.hamiltontn.gov/resolutions/2002/302-41A.pdf" TargetMode="External"/><Relationship Id="rId18" Type="http://schemas.openxmlformats.org/officeDocument/2006/relationships/hyperlink" Target="http://resolutions.hamiltontn.gov/resolutions/2014/1214-8.pdf" TargetMode="External"/><Relationship Id="rId39" Type="http://schemas.openxmlformats.org/officeDocument/2006/relationships/hyperlink" Target="http://www.chattanooga.gov/city-council-files/OrdinancesAndResolutions/Resolutions/Resolutions%202016/28815%20PILOT-ECG%20Chestnut%20LP.pdf" TargetMode="External"/><Relationship Id="rId34" Type="http://schemas.openxmlformats.org/officeDocument/2006/relationships/hyperlink" Target="http://www.chattanooga.gov/city-council-files/OrdinancesAndResolutions/Resolutions/Resolutions%202015/28424%20PILOT%20Gestamp.pdf" TargetMode="External"/><Relationship Id="rId50" Type="http://schemas.openxmlformats.org/officeDocument/2006/relationships/hyperlink" Target="http://resolutions.hamiltontn.gov/resolutions/2018/318-14.pdf" TargetMode="External"/><Relationship Id="rId55" Type="http://schemas.openxmlformats.org/officeDocument/2006/relationships/hyperlink" Target="http://resolutions.hamiltontn.gov/resolutions/2018/1018-4.pdf" TargetMode="External"/><Relationship Id="rId76" Type="http://schemas.openxmlformats.org/officeDocument/2006/relationships/hyperlink" Target="https://chattanooga.gov/city-council-files/OrdinancesAndResolutions/Resolutions/Resolutions%202021/30824%20PILOT%20PUREGraphite.pdf" TargetMode="External"/><Relationship Id="rId7" Type="http://schemas.openxmlformats.org/officeDocument/2006/relationships/hyperlink" Target="http://www.chattanooga.gov/city-council-files/OrdinancesAndResolutions/Resolutions/Resolutions%202008/25738%20Auth%20PILOT%20Agmt%20-%20Volkswagen.pdf" TargetMode="External"/><Relationship Id="rId71" Type="http://schemas.openxmlformats.org/officeDocument/2006/relationships/hyperlink" Target="http://resolutions.hamiltontn.gov/resolutions/2021/1121-33.pdf" TargetMode="External"/><Relationship Id="rId2" Type="http://schemas.openxmlformats.org/officeDocument/2006/relationships/hyperlink" Target="http://www.chattanooga.gov/city-council-files/OrdinancesAndResolutions/Resolutions/Resolutions%202010/26356%20Aut%20amendment%20to%20payment%20in%20lieu%20of%20tax%20agreement%20with%20Gestamp.pdf" TargetMode="External"/><Relationship Id="rId29" Type="http://schemas.openxmlformats.org/officeDocument/2006/relationships/hyperlink" Target="http://resolutions.hamiltontn.gov/resolutions/2015/715-16.pdf" TargetMode="External"/><Relationship Id="rId24" Type="http://schemas.openxmlformats.org/officeDocument/2006/relationships/hyperlink" Target="http://www.chattanooga.gov/city-council-files/OrdinancesAndResolutions/Resolutions/Resolutions%202015/28233%20PILOT%20Heritage-Maclellan.pdf" TargetMode="External"/><Relationship Id="rId40" Type="http://schemas.openxmlformats.org/officeDocument/2006/relationships/hyperlink" Target="http://resolutions.hamiltontn.gov/resolutions/2016/1116-3.pdf" TargetMode="External"/><Relationship Id="rId45" Type="http://schemas.openxmlformats.org/officeDocument/2006/relationships/hyperlink" Target="http://resolutions.hamiltontn.gov/resolutions/2015/215-37.pdf" TargetMode="External"/><Relationship Id="rId66" Type="http://schemas.openxmlformats.org/officeDocument/2006/relationships/hyperlink" Target="http://resolutions.hamiltontn.gov/resolutions/2020/820-26.pdf" TargetMode="External"/><Relationship Id="rId87" Type="http://schemas.openxmlformats.org/officeDocument/2006/relationships/printerSettings" Target="../printerSettings/printerSettings1.bin"/><Relationship Id="rId61" Type="http://schemas.openxmlformats.org/officeDocument/2006/relationships/hyperlink" Target="http://resolutions.hamiltontn.gov/resolutions/2019/319-14.pdf" TargetMode="External"/><Relationship Id="rId82" Type="http://schemas.openxmlformats.org/officeDocument/2006/relationships/hyperlink" Target="http://resolutions.hamiltontn.gov/resolutions/2022/722-34.pdf" TargetMode="External"/><Relationship Id="rId19" Type="http://schemas.openxmlformats.org/officeDocument/2006/relationships/hyperlink" Target="http://resolutions.hamiltontn.gov/resolutions/2008/1108-43.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S122"/>
  <sheetViews>
    <sheetView tabSelected="1" zoomScaleNormal="100" workbookViewId="0">
      <pane xSplit="5" ySplit="3" topLeftCell="F4" activePane="bottomRight" state="frozen"/>
      <selection activeCell="A2" sqref="A2"/>
      <selection pane="topRight" activeCell="F2" sqref="F2"/>
      <selection pane="bottomLeft" activeCell="A4" sqref="A4"/>
      <selection pane="bottomRight" activeCell="W37" sqref="W37"/>
    </sheetView>
  </sheetViews>
  <sheetFormatPr defaultColWidth="17.28515625" defaultRowHeight="15" customHeight="1" x14ac:dyDescent="0.2"/>
  <cols>
    <col min="1" max="1" width="37.140625" style="22" customWidth="1"/>
    <col min="2" max="2" width="40.140625" style="22" bestFit="1" customWidth="1"/>
    <col min="3" max="3" width="25" style="22" hidden="1" customWidth="1"/>
    <col min="4" max="4" width="13.28515625" style="22" hidden="1" customWidth="1"/>
    <col min="5" max="5" width="26.7109375" style="19" customWidth="1"/>
    <col min="6" max="6" width="10.7109375" style="22" customWidth="1"/>
    <col min="7" max="7" width="11.140625" style="22" customWidth="1"/>
    <col min="8" max="8" width="10.42578125" style="22" customWidth="1"/>
    <col min="9" max="9" width="2.140625" style="6" customWidth="1"/>
    <col min="10" max="10" width="11.140625" style="22" customWidth="1"/>
    <col min="11" max="11" width="11" style="22" customWidth="1"/>
    <col min="12" max="12" width="10.85546875" style="22" customWidth="1"/>
    <col min="13" max="13" width="1.7109375" style="6" customWidth="1"/>
    <col min="14" max="14" width="10.7109375" style="22" customWidth="1"/>
    <col min="15" max="15" width="8.42578125" style="22" customWidth="1"/>
    <col min="16" max="16" width="13.28515625" style="22" customWidth="1"/>
    <col min="17" max="17" width="12.5703125" style="33" customWidth="1"/>
    <col min="18" max="18" width="27" style="29" customWidth="1"/>
    <col min="19" max="19" width="14.5703125" style="3" customWidth="1"/>
    <col min="20" max="20" width="21" style="3" hidden="1" customWidth="1"/>
    <col min="21" max="21" width="17.42578125" style="34" customWidth="1"/>
    <col min="22" max="22" width="1.7109375" style="6" customWidth="1"/>
    <col min="23" max="23" width="13" style="3" customWidth="1"/>
    <col min="24" max="24" width="15" style="3" customWidth="1"/>
    <col min="25" max="25" width="14.85546875" style="3" customWidth="1"/>
    <col min="26" max="26" width="14.28515625" style="3" customWidth="1"/>
    <col min="27" max="27" width="3.7109375" style="6" customWidth="1"/>
    <col min="28" max="28" width="12" style="3" customWidth="1"/>
    <col min="29" max="29" width="14.7109375" style="3" customWidth="1"/>
    <col min="30" max="30" width="14.5703125" style="3" customWidth="1"/>
    <col min="31" max="31" width="13.85546875" style="3" customWidth="1"/>
    <col min="32" max="32" width="15" style="3" customWidth="1"/>
    <col min="33" max="33" width="3.7109375" style="6" customWidth="1"/>
    <col min="34" max="34" width="11.5703125" style="3" customWidth="1"/>
    <col min="35" max="35" width="11.7109375" style="3" customWidth="1"/>
    <col min="36" max="36" width="13.7109375" style="3" customWidth="1"/>
    <col min="37" max="37" width="14" style="3" customWidth="1"/>
    <col min="38" max="38" width="13" style="3" customWidth="1"/>
    <col min="39" max="39" width="17.28515625" style="22"/>
    <col min="40" max="40" width="0" style="22" hidden="1" customWidth="1"/>
    <col min="41" max="41" width="13.85546875" style="301" customWidth="1"/>
    <col min="42" max="16384" width="17.28515625" style="22"/>
  </cols>
  <sheetData>
    <row r="1" spans="1:41" customFormat="1" ht="12.75" x14ac:dyDescent="0.2">
      <c r="A1" s="22"/>
      <c r="E1" s="15"/>
      <c r="I1" s="4"/>
      <c r="M1" s="4"/>
      <c r="N1" s="22"/>
      <c r="O1" s="22"/>
      <c r="Q1" s="32"/>
      <c r="R1" s="27"/>
      <c r="S1" s="1"/>
      <c r="T1" s="1"/>
      <c r="U1" s="34"/>
      <c r="V1" s="4"/>
      <c r="W1" s="383">
        <v>2.25</v>
      </c>
      <c r="X1" s="383">
        <f>1.2639+0.008</f>
        <v>1.2719</v>
      </c>
      <c r="Y1" s="383">
        <v>0.96540000000000004</v>
      </c>
      <c r="Z1" s="2"/>
      <c r="AA1" s="4"/>
      <c r="AB1" s="3"/>
      <c r="AC1" s="3"/>
      <c r="AD1" s="3"/>
      <c r="AE1" s="3"/>
      <c r="AF1" s="3"/>
      <c r="AG1" s="4"/>
      <c r="AH1" s="1"/>
      <c r="AI1" s="1"/>
      <c r="AJ1" s="1"/>
      <c r="AK1" s="1"/>
      <c r="AL1" s="1"/>
      <c r="AO1" s="301"/>
    </row>
    <row r="2" spans="1:41" customFormat="1" ht="15" customHeight="1" thickBot="1" x14ac:dyDescent="0.25">
      <c r="A2" s="22"/>
      <c r="E2" s="15"/>
      <c r="F2" s="425" t="s">
        <v>42</v>
      </c>
      <c r="G2" s="425"/>
      <c r="H2" s="425"/>
      <c r="I2" s="36"/>
      <c r="J2" s="425" t="s">
        <v>43</v>
      </c>
      <c r="K2" s="425"/>
      <c r="L2" s="425"/>
      <c r="M2" s="36"/>
      <c r="N2" s="22"/>
      <c r="O2" s="22"/>
      <c r="Q2" s="32"/>
      <c r="R2" s="27"/>
      <c r="S2" s="1"/>
      <c r="T2" s="1"/>
      <c r="U2" s="34"/>
      <c r="V2" s="5"/>
      <c r="W2" s="7" t="s">
        <v>31</v>
      </c>
      <c r="X2" s="7"/>
      <c r="Y2" s="7"/>
      <c r="Z2" s="7"/>
      <c r="AA2" s="5"/>
      <c r="AB2" s="426" t="s">
        <v>66</v>
      </c>
      <c r="AC2" s="427"/>
      <c r="AD2" s="427"/>
      <c r="AE2" s="427"/>
      <c r="AF2" s="428"/>
      <c r="AG2" s="5"/>
      <c r="AH2" s="429" t="s">
        <v>37</v>
      </c>
      <c r="AI2" s="430"/>
      <c r="AJ2" s="430"/>
      <c r="AK2" s="430"/>
      <c r="AL2" s="431"/>
      <c r="AO2" s="302" t="s">
        <v>177</v>
      </c>
    </row>
    <row r="3" spans="1:41" s="15" customFormat="1" ht="24" customHeight="1" x14ac:dyDescent="0.2">
      <c r="A3" s="16" t="s">
        <v>0</v>
      </c>
      <c r="B3" s="8" t="s">
        <v>3</v>
      </c>
      <c r="C3" s="24" t="s">
        <v>8</v>
      </c>
      <c r="D3" s="24" t="s">
        <v>9</v>
      </c>
      <c r="E3" s="8" t="s">
        <v>60</v>
      </c>
      <c r="F3" s="8" t="s">
        <v>53</v>
      </c>
      <c r="G3" s="14" t="s">
        <v>5</v>
      </c>
      <c r="H3" s="14" t="s">
        <v>70</v>
      </c>
      <c r="I3" s="12"/>
      <c r="J3" s="8" t="s">
        <v>53</v>
      </c>
      <c r="K3" s="14" t="s">
        <v>5</v>
      </c>
      <c r="L3" s="14" t="s">
        <v>70</v>
      </c>
      <c r="M3" s="12"/>
      <c r="N3" s="16" t="s">
        <v>6</v>
      </c>
      <c r="O3" s="16" t="s">
        <v>7</v>
      </c>
      <c r="P3" s="16" t="s">
        <v>1</v>
      </c>
      <c r="Q3" s="30" t="s">
        <v>2</v>
      </c>
      <c r="R3" s="16" t="s">
        <v>82</v>
      </c>
      <c r="S3" s="12" t="s">
        <v>113</v>
      </c>
      <c r="T3" s="9" t="s">
        <v>4</v>
      </c>
      <c r="U3" s="12" t="s">
        <v>30</v>
      </c>
      <c r="V3" s="12"/>
      <c r="W3" s="11" t="s">
        <v>32</v>
      </c>
      <c r="X3" s="11" t="s">
        <v>33</v>
      </c>
      <c r="Y3" s="11" t="s">
        <v>34</v>
      </c>
      <c r="Z3" s="10" t="s">
        <v>36</v>
      </c>
      <c r="AA3" s="12"/>
      <c r="AB3" s="21" t="s">
        <v>217</v>
      </c>
      <c r="AC3" s="21" t="s">
        <v>218</v>
      </c>
      <c r="AD3" s="21" t="s">
        <v>219</v>
      </c>
      <c r="AE3" s="21" t="s">
        <v>69</v>
      </c>
      <c r="AF3" s="21" t="s">
        <v>67</v>
      </c>
      <c r="AG3" s="12"/>
      <c r="AH3" s="13" t="s">
        <v>38</v>
      </c>
      <c r="AI3" s="13" t="s">
        <v>39</v>
      </c>
      <c r="AJ3" s="13" t="s">
        <v>40</v>
      </c>
      <c r="AK3" s="13" t="s">
        <v>69</v>
      </c>
      <c r="AL3" s="13" t="s">
        <v>41</v>
      </c>
      <c r="AO3" s="303" t="s">
        <v>69</v>
      </c>
    </row>
    <row r="4" spans="1:41" s="19" customFormat="1" ht="38.25" customHeight="1" x14ac:dyDescent="0.25">
      <c r="A4" s="20" t="s">
        <v>44</v>
      </c>
      <c r="B4" s="16"/>
      <c r="C4" s="16"/>
      <c r="D4" s="16"/>
      <c r="E4" s="16"/>
      <c r="F4" s="16"/>
      <c r="G4" s="17"/>
      <c r="H4" s="17"/>
      <c r="I4" s="12"/>
      <c r="J4" s="16"/>
      <c r="K4" s="17"/>
      <c r="L4" s="17"/>
      <c r="M4" s="12"/>
      <c r="N4" s="16"/>
      <c r="O4" s="16"/>
      <c r="P4" s="16"/>
      <c r="Q4" s="30"/>
      <c r="R4" s="28"/>
      <c r="S4" s="12"/>
      <c r="T4" s="12"/>
      <c r="U4" s="224"/>
      <c r="V4" s="12"/>
      <c r="W4" s="18"/>
      <c r="X4" s="18"/>
      <c r="Y4" s="18"/>
      <c r="Z4" s="12"/>
      <c r="AA4" s="12"/>
      <c r="AB4" s="18"/>
      <c r="AC4" s="18"/>
      <c r="AD4" s="18"/>
      <c r="AE4" s="219"/>
      <c r="AF4" s="12"/>
      <c r="AG4" s="12"/>
      <c r="AH4" s="35"/>
      <c r="AI4" s="12"/>
      <c r="AJ4" s="12"/>
      <c r="AK4" s="12"/>
      <c r="AL4" s="12"/>
      <c r="AO4" s="304"/>
    </row>
    <row r="5" spans="1:41" s="43" customFormat="1" ht="25.5" customHeight="1" x14ac:dyDescent="0.2">
      <c r="A5" s="63" t="s">
        <v>116</v>
      </c>
      <c r="B5" s="64" t="s">
        <v>117</v>
      </c>
      <c r="C5" s="65">
        <v>35.052216000000001</v>
      </c>
      <c r="D5" s="65">
        <v>-85.317967999999993</v>
      </c>
      <c r="E5" s="66" t="s">
        <v>118</v>
      </c>
      <c r="F5" s="65">
        <v>24361</v>
      </c>
      <c r="G5" s="67">
        <v>38433</v>
      </c>
      <c r="H5" s="421" t="s">
        <v>71</v>
      </c>
      <c r="I5" s="69"/>
      <c r="J5" s="70" t="s">
        <v>119</v>
      </c>
      <c r="K5" s="71">
        <v>38434</v>
      </c>
      <c r="L5" s="222" t="s">
        <v>71</v>
      </c>
      <c r="M5" s="69"/>
      <c r="N5" s="73">
        <v>2010</v>
      </c>
      <c r="O5" s="73">
        <v>2025</v>
      </c>
      <c r="P5" s="74"/>
      <c r="Q5" s="75"/>
      <c r="R5" s="76" t="s">
        <v>10</v>
      </c>
      <c r="S5" s="77"/>
      <c r="T5" s="77"/>
      <c r="U5" s="275">
        <f>38892440+54161160+429960+9731310</f>
        <v>103214870</v>
      </c>
      <c r="V5" s="69"/>
      <c r="W5" s="78">
        <f t="shared" ref="W5:Y5" si="0">+$U5*W$1/100</f>
        <v>2322334.5750000002</v>
      </c>
      <c r="X5" s="78">
        <f t="shared" si="0"/>
        <v>1312789.9315299999</v>
      </c>
      <c r="Y5" s="78">
        <f t="shared" si="0"/>
        <v>996436.35498000006</v>
      </c>
      <c r="Z5" s="78">
        <f t="shared" ref="Z5" si="1">+W5+X5+Y5</f>
        <v>4631560.8615100002</v>
      </c>
      <c r="AA5" s="69"/>
      <c r="AB5" s="79">
        <f t="shared" ref="AB5:AD5" si="2">W5/2</f>
        <v>1161167.2875000001</v>
      </c>
      <c r="AC5" s="79">
        <f t="shared" si="2"/>
        <v>656394.96576499997</v>
      </c>
      <c r="AD5" s="79">
        <f t="shared" si="2"/>
        <v>498218.17749000003</v>
      </c>
      <c r="AE5" s="80"/>
      <c r="AF5" s="80">
        <f t="shared" ref="AF5" si="3">+AB5+AC5+AD5+AE5</f>
        <v>2315780.4307550001</v>
      </c>
      <c r="AG5" s="69"/>
      <c r="AH5" s="81">
        <f t="shared" ref="AH5:AJ5" si="4">+W5-AB5</f>
        <v>1161167.2875000001</v>
      </c>
      <c r="AI5" s="81">
        <f t="shared" si="4"/>
        <v>656394.96576499997</v>
      </c>
      <c r="AJ5" s="81">
        <f t="shared" si="4"/>
        <v>498218.17749000003</v>
      </c>
      <c r="AK5" s="81">
        <f t="shared" ref="AK5" si="5">-AE5</f>
        <v>0</v>
      </c>
      <c r="AL5" s="81">
        <f t="shared" ref="AL5" si="6">+Z5-AF5</f>
        <v>2315780.4307550001</v>
      </c>
      <c r="AO5" s="306"/>
    </row>
    <row r="6" spans="1:41" s="43" customFormat="1" ht="25.5" customHeight="1" x14ac:dyDescent="0.2">
      <c r="A6" s="44" t="s">
        <v>72</v>
      </c>
      <c r="B6" s="45" t="s">
        <v>11</v>
      </c>
      <c r="C6" s="46">
        <v>35.047637000000002</v>
      </c>
      <c r="D6" s="46">
        <v>-85.186363</v>
      </c>
      <c r="E6" s="47" t="s">
        <v>104</v>
      </c>
      <c r="F6" s="46">
        <v>27804</v>
      </c>
      <c r="G6" s="48">
        <v>41709</v>
      </c>
      <c r="H6" s="49" t="s">
        <v>71</v>
      </c>
      <c r="I6" s="50"/>
      <c r="J6" s="51" t="s">
        <v>65</v>
      </c>
      <c r="K6" s="85">
        <v>41717</v>
      </c>
      <c r="L6" s="139" t="s">
        <v>71</v>
      </c>
      <c r="M6" s="50"/>
      <c r="N6" s="51">
        <v>2016</v>
      </c>
      <c r="O6" s="51">
        <v>2027</v>
      </c>
      <c r="P6" s="60">
        <f>43+270</f>
        <v>313</v>
      </c>
      <c r="Q6" s="52">
        <v>45000</v>
      </c>
      <c r="R6" s="53" t="s">
        <v>160</v>
      </c>
      <c r="S6" s="54">
        <v>62000000</v>
      </c>
      <c r="T6" s="54"/>
      <c r="U6" s="387">
        <f>18862280+751400</f>
        <v>19613680</v>
      </c>
      <c r="V6" s="50"/>
      <c r="W6" s="55">
        <f>+$U6*W$1/100</f>
        <v>441307.8</v>
      </c>
      <c r="X6" s="55">
        <f t="shared" ref="X6:X8" si="7">+$U6*X$1/100</f>
        <v>249466.39592000001</v>
      </c>
      <c r="Y6" s="55">
        <f>+$U6*Y$1/100</f>
        <v>189350.46672000003</v>
      </c>
      <c r="Z6" s="55">
        <f t="shared" ref="Z6:Z17" si="8">+W6+X6+Y6</f>
        <v>880124.66264</v>
      </c>
      <c r="AA6" s="50"/>
      <c r="AB6" s="57">
        <f>W6*0.45</f>
        <v>198588.51</v>
      </c>
      <c r="AC6" s="57">
        <f>X6*0.45</f>
        <v>112259.87816400001</v>
      </c>
      <c r="AD6" s="57">
        <f>Y6</f>
        <v>189350.46672000003</v>
      </c>
      <c r="AE6" s="57">
        <f>SUM(W6:X6)*0.05</f>
        <v>34538.709796000003</v>
      </c>
      <c r="AF6" s="57">
        <f t="shared" ref="AF6:AF17" si="9">+AB6+AC6+AD6+AE6</f>
        <v>534737.56468000007</v>
      </c>
      <c r="AG6" s="240"/>
      <c r="AH6" s="58">
        <f t="shared" ref="AH6:AJ17" si="10">+W6-AB6</f>
        <v>242719.28999999998</v>
      </c>
      <c r="AI6" s="59">
        <f t="shared" si="10"/>
        <v>137206.51775599999</v>
      </c>
      <c r="AJ6" s="59">
        <f t="shared" si="10"/>
        <v>0</v>
      </c>
      <c r="AK6" s="59">
        <f t="shared" ref="AK6:AK17" si="11">-AE6</f>
        <v>-34538.709796000003</v>
      </c>
      <c r="AL6" s="59">
        <f t="shared" ref="AL6:AL17" si="12">+Z6-AF6</f>
        <v>345387.09795999993</v>
      </c>
      <c r="AO6" s="305">
        <f>SUM(X7)*0.05</f>
        <v>14250.34788555</v>
      </c>
    </row>
    <row r="7" spans="1:41" s="43" customFormat="1" ht="25.5" customHeight="1" x14ac:dyDescent="0.2">
      <c r="A7" s="226" t="s">
        <v>76</v>
      </c>
      <c r="B7" s="126"/>
      <c r="C7" s="227"/>
      <c r="D7" s="227"/>
      <c r="E7" s="131" t="s">
        <v>155</v>
      </c>
      <c r="F7" s="46">
        <v>28302</v>
      </c>
      <c r="G7" s="48">
        <v>42185</v>
      </c>
      <c r="H7" s="87" t="s">
        <v>71</v>
      </c>
      <c r="I7" s="50"/>
      <c r="J7" s="47" t="s">
        <v>87</v>
      </c>
      <c r="K7" s="88">
        <v>42186</v>
      </c>
      <c r="L7" s="137" t="s">
        <v>71</v>
      </c>
      <c r="M7" s="50"/>
      <c r="N7" s="51">
        <v>2017</v>
      </c>
      <c r="O7" s="51">
        <v>2026</v>
      </c>
      <c r="P7" s="82">
        <v>136</v>
      </c>
      <c r="Q7" s="52"/>
      <c r="R7" s="53"/>
      <c r="S7" s="54">
        <v>39100000</v>
      </c>
      <c r="T7" s="54"/>
      <c r="U7" s="387">
        <f>18235720+4172249</f>
        <v>22407969</v>
      </c>
      <c r="V7" s="50"/>
      <c r="W7" s="228">
        <f>+$U7*W$1/100</f>
        <v>504179.30249999999</v>
      </c>
      <c r="X7" s="228">
        <f t="shared" si="7"/>
        <v>285006.957711</v>
      </c>
      <c r="Y7" s="228">
        <f>+$U7*Y$1/100</f>
        <v>216326.53272600003</v>
      </c>
      <c r="Z7" s="228">
        <f t="shared" ref="Z7" si="13">+W7+X7+Y7</f>
        <v>1005512.792937</v>
      </c>
      <c r="AA7" s="50"/>
      <c r="AB7" s="262">
        <f>W7*0.4</f>
        <v>201671.72100000002</v>
      </c>
      <c r="AC7" s="89">
        <f>X7*0.5</f>
        <v>142503.4788555</v>
      </c>
      <c r="AD7" s="57">
        <f>Y7</f>
        <v>216326.53272600003</v>
      </c>
      <c r="AE7" s="242">
        <f>SUM(X7:Y7)*0.1253+SUM(W7*0.15)</f>
        <v>138443.98172675609</v>
      </c>
      <c r="AF7" s="57">
        <f>SUM(AB7:AE7)</f>
        <v>698945.71430825617</v>
      </c>
      <c r="AG7" s="240"/>
      <c r="AH7" s="243">
        <f t="shared" ref="AH7:AH9" si="14">+W7-AB7</f>
        <v>302507.58149999997</v>
      </c>
      <c r="AI7" s="241">
        <f t="shared" ref="AI7:AI9" si="15">+X7-AC7</f>
        <v>142503.4788555</v>
      </c>
      <c r="AJ7" s="241">
        <f t="shared" ref="AJ7:AJ9" si="16">+Y7-AD7</f>
        <v>0</v>
      </c>
      <c r="AK7" s="241">
        <f t="shared" ref="AK7:AK9" si="17">-AE7</f>
        <v>-138443.98172675609</v>
      </c>
      <c r="AL7" s="59">
        <f t="shared" si="12"/>
        <v>306567.07862874388</v>
      </c>
      <c r="AM7" s="90"/>
      <c r="AO7" s="305">
        <f>SUM(X7:Y7)*0.1253</f>
        <v>62817.086351756101</v>
      </c>
    </row>
    <row r="8" spans="1:41" s="43" customFormat="1" ht="25.5" customHeight="1" x14ac:dyDescent="0.2">
      <c r="A8" s="274" t="s">
        <v>120</v>
      </c>
      <c r="B8" s="126"/>
      <c r="C8" s="272"/>
      <c r="D8" s="272"/>
      <c r="E8" s="131" t="s">
        <v>170</v>
      </c>
      <c r="F8" s="46">
        <v>29035</v>
      </c>
      <c r="G8" s="48">
        <v>42871</v>
      </c>
      <c r="H8" s="87" t="s">
        <v>71</v>
      </c>
      <c r="I8" s="50"/>
      <c r="J8" s="47" t="s">
        <v>121</v>
      </c>
      <c r="K8" s="88">
        <v>42872</v>
      </c>
      <c r="L8" s="137" t="s">
        <v>71</v>
      </c>
      <c r="M8" s="50"/>
      <c r="N8" s="51">
        <v>2019</v>
      </c>
      <c r="O8" s="51">
        <v>2023</v>
      </c>
      <c r="P8" s="82">
        <v>192</v>
      </c>
      <c r="Q8" s="52">
        <v>39250</v>
      </c>
      <c r="R8" s="53"/>
      <c r="S8" s="54">
        <v>5700000</v>
      </c>
      <c r="T8" s="54"/>
      <c r="U8" s="391">
        <f>2208560+241035</f>
        <v>2449595</v>
      </c>
      <c r="V8" s="50"/>
      <c r="W8" s="268">
        <f>+$U8*W$1/100</f>
        <v>55115.887499999997</v>
      </c>
      <c r="X8" s="268">
        <f t="shared" si="7"/>
        <v>31156.398805000001</v>
      </c>
      <c r="Y8" s="268">
        <f>+$U8*Y$1/100</f>
        <v>23648.390130000003</v>
      </c>
      <c r="Z8" s="268">
        <f t="shared" ref="Z8:Z9" si="18">+W8+X8+Y8</f>
        <v>109920.676435</v>
      </c>
      <c r="AA8" s="50"/>
      <c r="AB8" s="56">
        <f>W8*0.5</f>
        <v>27557.943749999999</v>
      </c>
      <c r="AC8" s="382">
        <f>(X8*0.5)+7556.39+824.67</f>
        <v>23959.2594025</v>
      </c>
      <c r="AD8" s="57">
        <f>Y8</f>
        <v>23648.390130000003</v>
      </c>
      <c r="AE8" s="270">
        <f>SUM(X8:Y8)*0.1253+SUM(W8*0.15)</f>
        <v>15134.423178555498</v>
      </c>
      <c r="AF8" s="270">
        <f>SUM(AB8:AE8)</f>
        <v>90300.016461055508</v>
      </c>
      <c r="AG8" s="240"/>
      <c r="AH8" s="243">
        <f t="shared" si="14"/>
        <v>27557.943749999999</v>
      </c>
      <c r="AI8" s="241">
        <f t="shared" si="15"/>
        <v>7197.1394025000009</v>
      </c>
      <c r="AJ8" s="241">
        <f t="shared" si="16"/>
        <v>0</v>
      </c>
      <c r="AK8" s="241">
        <f t="shared" si="17"/>
        <v>-15134.423178555498</v>
      </c>
      <c r="AL8" s="241">
        <f t="shared" si="12"/>
        <v>19620.659973944494</v>
      </c>
      <c r="AM8" s="90"/>
      <c r="AO8" s="305">
        <f>SUM(X8:Y8)*0.1253</f>
        <v>6867.0400535555</v>
      </c>
    </row>
    <row r="9" spans="1:41" s="43" customFormat="1" ht="25.5" customHeight="1" x14ac:dyDescent="0.2">
      <c r="A9" s="363" t="s">
        <v>227</v>
      </c>
      <c r="B9" s="364"/>
      <c r="C9" s="335"/>
      <c r="D9" s="335"/>
      <c r="E9" s="362"/>
      <c r="F9" s="398"/>
      <c r="G9" s="399"/>
      <c r="H9" s="361"/>
      <c r="I9" s="405"/>
      <c r="J9" s="397" t="s">
        <v>228</v>
      </c>
      <c r="K9" s="88">
        <v>45049</v>
      </c>
      <c r="L9" s="137"/>
      <c r="M9" s="405"/>
      <c r="N9" s="401">
        <v>2027</v>
      </c>
      <c r="O9" s="401"/>
      <c r="P9" s="402">
        <v>200</v>
      </c>
      <c r="Q9" s="403">
        <v>59000</v>
      </c>
      <c r="R9" s="53"/>
      <c r="S9" s="404">
        <v>50000000</v>
      </c>
      <c r="T9" s="404"/>
      <c r="U9" s="405"/>
      <c r="V9" s="405"/>
      <c r="W9" s="392">
        <f t="shared" ref="W9:Y16" si="19">+$U9*W$1/100</f>
        <v>0</v>
      </c>
      <c r="X9" s="392">
        <f t="shared" si="19"/>
        <v>0</v>
      </c>
      <c r="Y9" s="392">
        <f t="shared" si="19"/>
        <v>0</v>
      </c>
      <c r="Z9" s="392">
        <f t="shared" si="18"/>
        <v>0</v>
      </c>
      <c r="AA9" s="405"/>
      <c r="AB9" s="406"/>
      <c r="AC9" s="393"/>
      <c r="AD9" s="394"/>
      <c r="AE9" s="394"/>
      <c r="AF9" s="394"/>
      <c r="AG9" s="405"/>
      <c r="AH9" s="395">
        <f t="shared" si="14"/>
        <v>0</v>
      </c>
      <c r="AI9" s="407">
        <f t="shared" si="15"/>
        <v>0</v>
      </c>
      <c r="AJ9" s="407">
        <f t="shared" si="16"/>
        <v>0</v>
      </c>
      <c r="AK9" s="407">
        <f t="shared" si="17"/>
        <v>0</v>
      </c>
      <c r="AL9" s="407">
        <f t="shared" ref="AL9" si="20">+Z9-AF9</f>
        <v>0</v>
      </c>
      <c r="AM9" s="90"/>
      <c r="AO9" s="408"/>
    </row>
    <row r="10" spans="1:41" s="43" customFormat="1" ht="25.5" customHeight="1" x14ac:dyDescent="0.2">
      <c r="A10" s="44" t="s">
        <v>13</v>
      </c>
      <c r="B10" s="45" t="s">
        <v>14</v>
      </c>
      <c r="C10" s="46">
        <v>35.077647599999999</v>
      </c>
      <c r="D10" s="46">
        <v>-85.153917399999997</v>
      </c>
      <c r="E10" s="47" t="s">
        <v>94</v>
      </c>
      <c r="F10" s="46">
        <v>27892</v>
      </c>
      <c r="G10" s="48">
        <v>41793</v>
      </c>
      <c r="H10" s="49" t="s">
        <v>71</v>
      </c>
      <c r="I10" s="50"/>
      <c r="J10" s="46" t="s">
        <v>48</v>
      </c>
      <c r="K10" s="48">
        <v>41794</v>
      </c>
      <c r="L10" s="139" t="s">
        <v>71</v>
      </c>
      <c r="M10" s="50"/>
      <c r="N10" s="51">
        <v>2014</v>
      </c>
      <c r="O10" s="51">
        <v>2025</v>
      </c>
      <c r="P10" s="60">
        <v>250</v>
      </c>
      <c r="Q10" s="52">
        <v>44699</v>
      </c>
      <c r="R10" s="53"/>
      <c r="S10" s="54">
        <v>50000000</v>
      </c>
      <c r="T10" s="54"/>
      <c r="U10" s="387">
        <f>9245400+3531702</f>
        <v>12777102</v>
      </c>
      <c r="V10" s="50"/>
      <c r="W10" s="55">
        <f t="shared" si="19"/>
        <v>287484.79499999998</v>
      </c>
      <c r="X10" s="55">
        <f t="shared" si="19"/>
        <v>162511.960338</v>
      </c>
      <c r="Y10" s="55">
        <f t="shared" si="19"/>
        <v>123350.142708</v>
      </c>
      <c r="Z10" s="55">
        <f t="shared" si="8"/>
        <v>573346.89804600005</v>
      </c>
      <c r="AA10" s="50"/>
      <c r="AB10" s="56">
        <f>104010.75+39731.65</f>
        <v>143742.39999999999</v>
      </c>
      <c r="AC10" s="56">
        <f>58796.12+22459.86</f>
        <v>81255.98000000001</v>
      </c>
      <c r="AD10" s="56">
        <f>Y10</f>
        <v>123350.142708</v>
      </c>
      <c r="AE10" s="242">
        <f>SUM(W10:X10)*0.15</f>
        <v>67499.513300699997</v>
      </c>
      <c r="AF10" s="57">
        <f t="shared" si="9"/>
        <v>415848.03600870003</v>
      </c>
      <c r="AG10" s="240"/>
      <c r="AH10" s="58">
        <f t="shared" si="10"/>
        <v>143742.39499999999</v>
      </c>
      <c r="AI10" s="59">
        <f t="shared" si="10"/>
        <v>81255.980337999994</v>
      </c>
      <c r="AJ10" s="59">
        <f t="shared" si="10"/>
        <v>0</v>
      </c>
      <c r="AK10" s="59">
        <f t="shared" si="11"/>
        <v>-67499.513300699997</v>
      </c>
      <c r="AL10" s="59">
        <f t="shared" si="12"/>
        <v>157498.86203730002</v>
      </c>
      <c r="AN10" s="91">
        <f>+AI10*0.15</f>
        <v>12188.397050699999</v>
      </c>
      <c r="AO10" s="305">
        <f>SUM(X10)*0.15</f>
        <v>24376.794050699998</v>
      </c>
    </row>
    <row r="11" spans="1:41" s="43" customFormat="1" ht="30" customHeight="1" x14ac:dyDescent="0.2">
      <c r="A11" s="44" t="s">
        <v>15</v>
      </c>
      <c r="B11" s="45" t="s">
        <v>16</v>
      </c>
      <c r="C11" s="46">
        <v>35.052191000000001</v>
      </c>
      <c r="D11" s="46">
        <v>85.307854000000006</v>
      </c>
      <c r="E11" s="47" t="s">
        <v>61</v>
      </c>
      <c r="F11" s="46">
        <v>25843</v>
      </c>
      <c r="G11" s="48">
        <v>39882</v>
      </c>
      <c r="H11" s="49" t="s">
        <v>71</v>
      </c>
      <c r="I11" s="50"/>
      <c r="J11" s="46" t="s">
        <v>49</v>
      </c>
      <c r="K11" s="48">
        <v>39890</v>
      </c>
      <c r="L11" s="139" t="s">
        <v>71</v>
      </c>
      <c r="M11" s="50"/>
      <c r="N11" s="51">
        <v>2011</v>
      </c>
      <c r="O11" s="51">
        <v>2025</v>
      </c>
      <c r="P11" s="60"/>
      <c r="Q11" s="52"/>
      <c r="R11" s="92"/>
      <c r="S11" s="54">
        <v>21000000</v>
      </c>
      <c r="T11" s="54"/>
      <c r="U11" s="387">
        <v>12362160</v>
      </c>
      <c r="V11" s="50"/>
      <c r="W11" s="55">
        <f t="shared" si="19"/>
        <v>278148.59999999998</v>
      </c>
      <c r="X11" s="55">
        <f t="shared" si="19"/>
        <v>157234.31304000001</v>
      </c>
      <c r="Y11" s="55">
        <f t="shared" si="19"/>
        <v>119344.29264</v>
      </c>
      <c r="Z11" s="55">
        <f t="shared" si="8"/>
        <v>554727.20568000001</v>
      </c>
      <c r="AA11" s="50"/>
      <c r="AB11" s="56">
        <f>+W11*0.3</f>
        <v>83444.579999999987</v>
      </c>
      <c r="AC11" s="57">
        <f>+X11*0.3</f>
        <v>47170.293912000001</v>
      </c>
      <c r="AD11" s="57">
        <f>+Y11*0.3</f>
        <v>35803.287791999996</v>
      </c>
      <c r="AE11" s="57"/>
      <c r="AF11" s="57">
        <f t="shared" si="9"/>
        <v>166418.16170399997</v>
      </c>
      <c r="AG11" s="240"/>
      <c r="AH11" s="58">
        <f t="shared" si="10"/>
        <v>194704.02</v>
      </c>
      <c r="AI11" s="59">
        <f t="shared" si="10"/>
        <v>110064.01912800001</v>
      </c>
      <c r="AJ11" s="59">
        <f t="shared" si="10"/>
        <v>83541.004848000011</v>
      </c>
      <c r="AK11" s="59">
        <f t="shared" si="11"/>
        <v>0</v>
      </c>
      <c r="AL11" s="59">
        <f t="shared" si="12"/>
        <v>388309.04397600004</v>
      </c>
      <c r="AO11" s="305"/>
    </row>
    <row r="12" spans="1:41" s="43" customFormat="1" ht="30" customHeight="1" x14ac:dyDescent="0.2">
      <c r="A12" s="363" t="s">
        <v>192</v>
      </c>
      <c r="B12" s="364"/>
      <c r="C12" s="335"/>
      <c r="D12" s="335"/>
      <c r="E12" s="362"/>
      <c r="F12" s="353">
        <v>30824</v>
      </c>
      <c r="G12" s="354">
        <v>44383</v>
      </c>
      <c r="H12" s="361" t="s">
        <v>71</v>
      </c>
      <c r="I12" s="359"/>
      <c r="J12" s="353" t="s">
        <v>191</v>
      </c>
      <c r="K12" s="354">
        <v>44384</v>
      </c>
      <c r="L12" s="137" t="s">
        <v>71</v>
      </c>
      <c r="M12" s="359"/>
      <c r="N12" s="356">
        <v>2025</v>
      </c>
      <c r="O12" s="356">
        <v>2031</v>
      </c>
      <c r="P12" s="60">
        <v>300</v>
      </c>
      <c r="Q12" s="357">
        <v>42000</v>
      </c>
      <c r="R12" s="92"/>
      <c r="S12" s="358">
        <v>150000000</v>
      </c>
      <c r="T12" s="358"/>
      <c r="U12" s="387">
        <v>0</v>
      </c>
      <c r="V12" s="359"/>
      <c r="W12" s="370">
        <f t="shared" si="19"/>
        <v>0</v>
      </c>
      <c r="X12" s="370">
        <f t="shared" si="19"/>
        <v>0</v>
      </c>
      <c r="Y12" s="370">
        <f t="shared" si="19"/>
        <v>0</v>
      </c>
      <c r="Z12" s="370">
        <f t="shared" ref="Z12" si="21">+W12+X12+Y12</f>
        <v>0</v>
      </c>
      <c r="AA12" s="359"/>
      <c r="AB12" s="360">
        <f>W12*0.25</f>
        <v>0</v>
      </c>
      <c r="AC12" s="351">
        <f>X12*0.25</f>
        <v>0</v>
      </c>
      <c r="AD12" s="351">
        <f>Y12</f>
        <v>0</v>
      </c>
      <c r="AE12" s="351">
        <f>X12*0.15</f>
        <v>0</v>
      </c>
      <c r="AF12" s="368">
        <f t="shared" si="9"/>
        <v>0</v>
      </c>
      <c r="AG12" s="359"/>
      <c r="AH12" s="369">
        <f t="shared" ref="AH12" si="22">+W12-AB12</f>
        <v>0</v>
      </c>
      <c r="AI12" s="367">
        <f t="shared" ref="AI12" si="23">+X12-AC12</f>
        <v>0</v>
      </c>
      <c r="AJ12" s="367">
        <f t="shared" ref="AJ12" si="24">+Y12-AD12</f>
        <v>0</v>
      </c>
      <c r="AK12" s="367">
        <f t="shared" ref="AK12" si="25">-AE12</f>
        <v>0</v>
      </c>
      <c r="AL12" s="367">
        <f t="shared" ref="AL12" si="26">+Z12-AF12</f>
        <v>0</v>
      </c>
      <c r="AO12" s="349"/>
    </row>
    <row r="13" spans="1:41" s="43" customFormat="1" ht="25.5" customHeight="1" x14ac:dyDescent="0.2">
      <c r="A13" s="44" t="s">
        <v>20</v>
      </c>
      <c r="B13" s="45" t="s">
        <v>21</v>
      </c>
      <c r="C13" s="46">
        <v>35.053296000000003</v>
      </c>
      <c r="D13" s="46">
        <v>-85.311479199999994</v>
      </c>
      <c r="E13" s="47" t="s">
        <v>62</v>
      </c>
      <c r="F13" s="46">
        <v>25682</v>
      </c>
      <c r="G13" s="48">
        <v>39721</v>
      </c>
      <c r="H13" s="49" t="s">
        <v>71</v>
      </c>
      <c r="I13" s="50"/>
      <c r="J13" s="46" t="s">
        <v>50</v>
      </c>
      <c r="K13" s="48">
        <v>39722</v>
      </c>
      <c r="L13" s="139" t="s">
        <v>71</v>
      </c>
      <c r="M13" s="50"/>
      <c r="N13" s="51">
        <v>2010</v>
      </c>
      <c r="O13" s="51">
        <v>2024</v>
      </c>
      <c r="P13" s="60"/>
      <c r="Q13" s="52"/>
      <c r="R13" s="53"/>
      <c r="S13" s="54">
        <v>7000000</v>
      </c>
      <c r="T13" s="54"/>
      <c r="U13" s="387">
        <v>4830480</v>
      </c>
      <c r="V13" s="50"/>
      <c r="W13" s="55">
        <f t="shared" si="19"/>
        <v>108685.8</v>
      </c>
      <c r="X13" s="55">
        <f t="shared" si="19"/>
        <v>61438.875120000004</v>
      </c>
      <c r="Y13" s="55">
        <f t="shared" si="19"/>
        <v>46633.45392</v>
      </c>
      <c r="Z13" s="55">
        <f t="shared" si="8"/>
        <v>216758.12904</v>
      </c>
      <c r="AA13" s="50"/>
      <c r="AB13" s="56">
        <v>0</v>
      </c>
      <c r="AC13" s="57">
        <v>0</v>
      </c>
      <c r="AD13" s="57">
        <f>Y13</f>
        <v>46633.45392</v>
      </c>
      <c r="AE13" s="57"/>
      <c r="AF13" s="57">
        <f t="shared" si="9"/>
        <v>46633.45392</v>
      </c>
      <c r="AG13" s="240"/>
      <c r="AH13" s="58">
        <f t="shared" si="10"/>
        <v>108685.8</v>
      </c>
      <c r="AI13" s="59">
        <f t="shared" si="10"/>
        <v>61438.875120000004</v>
      </c>
      <c r="AJ13" s="59">
        <f t="shared" si="10"/>
        <v>0</v>
      </c>
      <c r="AK13" s="59">
        <f t="shared" si="11"/>
        <v>0</v>
      </c>
      <c r="AL13" s="59">
        <f t="shared" si="12"/>
        <v>170124.67512</v>
      </c>
      <c r="AO13" s="305"/>
    </row>
    <row r="14" spans="1:41" s="43" customFormat="1" ht="25.5" customHeight="1" x14ac:dyDescent="0.2">
      <c r="A14" s="44" t="s">
        <v>52</v>
      </c>
      <c r="B14" s="45" t="s">
        <v>17</v>
      </c>
      <c r="C14" s="46">
        <v>35.083309</v>
      </c>
      <c r="D14" s="46">
        <v>-85.261724999999998</v>
      </c>
      <c r="E14" s="47" t="s">
        <v>97</v>
      </c>
      <c r="F14" s="46">
        <v>28072</v>
      </c>
      <c r="G14" s="48">
        <v>41975</v>
      </c>
      <c r="H14" s="49" t="s">
        <v>71</v>
      </c>
      <c r="I14" s="50"/>
      <c r="J14" s="46" t="s">
        <v>51</v>
      </c>
      <c r="K14" s="48">
        <v>41976</v>
      </c>
      <c r="L14" s="139" t="s">
        <v>71</v>
      </c>
      <c r="M14" s="50"/>
      <c r="N14" s="51">
        <v>2015</v>
      </c>
      <c r="O14" s="51">
        <v>2022</v>
      </c>
      <c r="P14" s="60">
        <v>105</v>
      </c>
      <c r="Q14" s="52">
        <v>45000</v>
      </c>
      <c r="R14" s="53"/>
      <c r="S14" s="54">
        <v>18100000</v>
      </c>
      <c r="T14" s="54"/>
      <c r="U14" s="388">
        <f>856320+5748120+5344800+167760+763728</f>
        <v>12880728</v>
      </c>
      <c r="V14" s="50"/>
      <c r="W14" s="55">
        <f t="shared" si="19"/>
        <v>289816.38</v>
      </c>
      <c r="X14" s="55">
        <f t="shared" si="19"/>
        <v>163829.97943199999</v>
      </c>
      <c r="Y14" s="55">
        <f>ROUND(+$U14*Y$1/100,2)</f>
        <v>124350.55</v>
      </c>
      <c r="Z14" s="55">
        <f t="shared" si="8"/>
        <v>577996.90943200001</v>
      </c>
      <c r="AA14" s="50"/>
      <c r="AB14" s="259">
        <f>W14</f>
        <v>289816.38</v>
      </c>
      <c r="AC14" s="57">
        <f>X14</f>
        <v>163829.97943199999</v>
      </c>
      <c r="AD14" s="57">
        <f>Y14</f>
        <v>124350.55</v>
      </c>
      <c r="AE14" s="242"/>
      <c r="AF14" s="57">
        <f t="shared" si="9"/>
        <v>577996.90943200001</v>
      </c>
      <c r="AG14" s="240"/>
      <c r="AH14" s="58">
        <f t="shared" si="10"/>
        <v>0</v>
      </c>
      <c r="AI14" s="59">
        <f t="shared" si="10"/>
        <v>0</v>
      </c>
      <c r="AJ14" s="59">
        <f t="shared" si="10"/>
        <v>0</v>
      </c>
      <c r="AK14" s="59">
        <f t="shared" si="11"/>
        <v>0</v>
      </c>
      <c r="AL14" s="59">
        <f t="shared" si="12"/>
        <v>0</v>
      </c>
      <c r="AN14" s="91">
        <f>+X14*0.15</f>
        <v>24574.496914799998</v>
      </c>
      <c r="AO14" s="305"/>
    </row>
    <row r="15" spans="1:41" s="43" customFormat="1" ht="25.5" customHeight="1" x14ac:dyDescent="0.2">
      <c r="A15" s="315" t="s">
        <v>190</v>
      </c>
      <c r="B15" s="126" t="s">
        <v>224</v>
      </c>
      <c r="C15" s="386"/>
      <c r="D15" s="386"/>
      <c r="E15" s="131" t="s">
        <v>223</v>
      </c>
      <c r="F15" s="353">
        <v>30938</v>
      </c>
      <c r="G15" s="354">
        <v>44516</v>
      </c>
      <c r="H15" s="361" t="s">
        <v>71</v>
      </c>
      <c r="I15" s="359"/>
      <c r="J15" s="353" t="s">
        <v>189</v>
      </c>
      <c r="K15" s="354">
        <v>44517</v>
      </c>
      <c r="L15" s="137" t="s">
        <v>71</v>
      </c>
      <c r="M15" s="359"/>
      <c r="N15" s="356">
        <v>2023</v>
      </c>
      <c r="O15" s="356">
        <v>2031</v>
      </c>
      <c r="P15" s="60">
        <v>360</v>
      </c>
      <c r="Q15" s="357">
        <v>56000</v>
      </c>
      <c r="R15" s="53"/>
      <c r="S15" s="358">
        <v>10080000</v>
      </c>
      <c r="T15" s="358"/>
      <c r="U15" s="387">
        <f>2808880+72635</f>
        <v>2881515</v>
      </c>
      <c r="V15" s="359"/>
      <c r="W15" s="385">
        <f t="shared" si="19"/>
        <v>64834.087500000001</v>
      </c>
      <c r="X15" s="385">
        <f t="shared" si="19"/>
        <v>36649.989284999996</v>
      </c>
      <c r="Y15" s="385">
        <f>ROUND(+$U15*Y$1/100,2)</f>
        <v>27818.15</v>
      </c>
      <c r="Z15" s="385">
        <f t="shared" ref="Z15" si="27">+W15+X15+Y15</f>
        <v>129302.22678500001</v>
      </c>
      <c r="AA15" s="359"/>
      <c r="AB15" s="351">
        <v>0</v>
      </c>
      <c r="AC15" s="351">
        <v>0</v>
      </c>
      <c r="AD15" s="351">
        <f>Y15</f>
        <v>27818.15</v>
      </c>
      <c r="AE15" s="351">
        <f>X15*0.15</f>
        <v>5497.4983927499989</v>
      </c>
      <c r="AF15" s="351">
        <f t="shared" si="9"/>
        <v>33315.648392750001</v>
      </c>
      <c r="AG15" s="359"/>
      <c r="AH15" s="352">
        <f t="shared" ref="AH15" si="28">+W15-AB15</f>
        <v>64834.087500000001</v>
      </c>
      <c r="AI15" s="350">
        <f t="shared" ref="AI15" si="29">+X15-AC15</f>
        <v>36649.989284999996</v>
      </c>
      <c r="AJ15" s="350">
        <f t="shared" ref="AJ15" si="30">+Y15-AD15</f>
        <v>0</v>
      </c>
      <c r="AK15" s="350">
        <f t="shared" ref="AK15" si="31">-AE15</f>
        <v>-5497.4983927499989</v>
      </c>
      <c r="AL15" s="350">
        <f t="shared" si="12"/>
        <v>95986.578392249998</v>
      </c>
      <c r="AN15" s="91"/>
      <c r="AO15" s="349"/>
    </row>
    <row r="16" spans="1:41" s="43" customFormat="1" ht="54" customHeight="1" x14ac:dyDescent="0.2">
      <c r="A16" s="44" t="s">
        <v>22</v>
      </c>
      <c r="B16" s="45" t="s">
        <v>23</v>
      </c>
      <c r="C16" s="46">
        <v>35.079189999999997</v>
      </c>
      <c r="D16" s="46">
        <v>-85.138220000000004</v>
      </c>
      <c r="E16" s="47" t="s">
        <v>63</v>
      </c>
      <c r="F16" s="46">
        <v>25738</v>
      </c>
      <c r="G16" s="48">
        <v>39777</v>
      </c>
      <c r="H16" s="49" t="s">
        <v>71</v>
      </c>
      <c r="I16" s="50"/>
      <c r="J16" s="46" t="s">
        <v>56</v>
      </c>
      <c r="K16" s="48">
        <v>39765</v>
      </c>
      <c r="L16" s="139" t="s">
        <v>71</v>
      </c>
      <c r="M16" s="50"/>
      <c r="N16" s="51">
        <v>2010</v>
      </c>
      <c r="O16" s="51">
        <v>2038</v>
      </c>
      <c r="P16" s="93">
        <v>2000</v>
      </c>
      <c r="Q16" s="52"/>
      <c r="R16" s="53" t="s">
        <v>161</v>
      </c>
      <c r="S16" s="54">
        <v>1000000000</v>
      </c>
      <c r="T16" s="54"/>
      <c r="U16" s="391">
        <f>4000000+293526608+204449601</f>
        <v>501976209</v>
      </c>
      <c r="V16" s="50"/>
      <c r="W16" s="55">
        <f>+$U16*W$1/100+931465.5</f>
        <v>12225930.202500001</v>
      </c>
      <c r="X16" s="55">
        <f t="shared" si="19"/>
        <v>6384635.4022709997</v>
      </c>
      <c r="Y16" s="55">
        <f t="shared" si="19"/>
        <v>4846078.3216860006</v>
      </c>
      <c r="Z16" s="55">
        <f t="shared" si="8"/>
        <v>23456643.926456999</v>
      </c>
      <c r="AA16" s="50"/>
      <c r="AB16" s="56">
        <v>931465.5</v>
      </c>
      <c r="AC16" s="57">
        <v>0</v>
      </c>
      <c r="AD16" s="57">
        <v>3914612.81</v>
      </c>
      <c r="AE16" s="57"/>
      <c r="AF16" s="57">
        <f t="shared" si="9"/>
        <v>4846078.3100000005</v>
      </c>
      <c r="AG16" s="240"/>
      <c r="AH16" s="58">
        <f t="shared" si="10"/>
        <v>11294464.702500001</v>
      </c>
      <c r="AI16" s="59">
        <f t="shared" si="10"/>
        <v>6384635.4022709997</v>
      </c>
      <c r="AJ16" s="59">
        <f t="shared" si="10"/>
        <v>931465.51168600051</v>
      </c>
      <c r="AK16" s="59">
        <f t="shared" si="11"/>
        <v>0</v>
      </c>
      <c r="AL16" s="59">
        <f t="shared" si="12"/>
        <v>18610565.616457</v>
      </c>
      <c r="AO16" s="305"/>
    </row>
    <row r="17" spans="1:41" s="43" customFormat="1" ht="25.5" customHeight="1" x14ac:dyDescent="0.2">
      <c r="A17" s="213" t="s">
        <v>35</v>
      </c>
      <c r="B17" s="126" t="s">
        <v>68</v>
      </c>
      <c r="C17" s="214">
        <v>35.079189999999997</v>
      </c>
      <c r="D17" s="214">
        <v>-85.138220000000004</v>
      </c>
      <c r="E17" s="131"/>
      <c r="F17" s="46">
        <v>27960</v>
      </c>
      <c r="G17" s="48">
        <v>41849</v>
      </c>
      <c r="H17" s="49" t="s">
        <v>71</v>
      </c>
      <c r="I17" s="50"/>
      <c r="J17" s="46" t="s">
        <v>59</v>
      </c>
      <c r="K17" s="48">
        <v>41843</v>
      </c>
      <c r="L17" s="139" t="s">
        <v>71</v>
      </c>
      <c r="M17" s="50"/>
      <c r="N17" s="51">
        <v>2015</v>
      </c>
      <c r="O17" s="51">
        <v>2038</v>
      </c>
      <c r="P17" s="93">
        <v>2000</v>
      </c>
      <c r="Q17" s="52"/>
      <c r="R17" s="53"/>
      <c r="S17" s="54">
        <v>600000000</v>
      </c>
      <c r="T17" s="54"/>
      <c r="U17" s="391"/>
      <c r="V17" s="50"/>
      <c r="W17" s="55">
        <v>0</v>
      </c>
      <c r="X17" s="55">
        <v>0</v>
      </c>
      <c r="Y17" s="55">
        <v>0</v>
      </c>
      <c r="Z17" s="55">
        <f t="shared" si="8"/>
        <v>0</v>
      </c>
      <c r="AA17" s="50"/>
      <c r="AB17" s="56">
        <v>0</v>
      </c>
      <c r="AC17" s="57">
        <v>0</v>
      </c>
      <c r="AD17" s="57">
        <v>0</v>
      </c>
      <c r="AE17" s="57">
        <v>250000</v>
      </c>
      <c r="AF17" s="57">
        <f t="shared" si="9"/>
        <v>250000</v>
      </c>
      <c r="AG17" s="240"/>
      <c r="AH17" s="58">
        <f t="shared" si="10"/>
        <v>0</v>
      </c>
      <c r="AI17" s="59">
        <f t="shared" si="10"/>
        <v>0</v>
      </c>
      <c r="AJ17" s="59">
        <f t="shared" si="10"/>
        <v>0</v>
      </c>
      <c r="AK17" s="59">
        <f t="shared" si="11"/>
        <v>-250000</v>
      </c>
      <c r="AL17" s="59">
        <f t="shared" si="12"/>
        <v>-250000</v>
      </c>
      <c r="AO17" s="305">
        <f>250000/2</f>
        <v>125000</v>
      </c>
    </row>
    <row r="18" spans="1:41" s="43" customFormat="1" ht="25.5" x14ac:dyDescent="0.2">
      <c r="A18" s="208" t="s">
        <v>98</v>
      </c>
      <c r="B18" s="126" t="s">
        <v>128</v>
      </c>
      <c r="C18" s="207"/>
      <c r="D18" s="207"/>
      <c r="E18" s="131" t="s">
        <v>127</v>
      </c>
      <c r="F18" s="46">
        <v>28501</v>
      </c>
      <c r="G18" s="48">
        <v>42388</v>
      </c>
      <c r="H18" s="87" t="s">
        <v>71</v>
      </c>
      <c r="I18" s="50"/>
      <c r="J18" s="46" t="s">
        <v>99</v>
      </c>
      <c r="K18" s="48">
        <v>42389</v>
      </c>
      <c r="L18" s="137" t="s">
        <v>71</v>
      </c>
      <c r="M18" s="50"/>
      <c r="N18" s="51">
        <v>2017</v>
      </c>
      <c r="O18" s="51">
        <v>2030</v>
      </c>
      <c r="P18" s="82">
        <v>325</v>
      </c>
      <c r="Q18" s="52">
        <v>50000</v>
      </c>
      <c r="R18" s="53" t="s">
        <v>162</v>
      </c>
      <c r="S18" s="54">
        <v>48000000</v>
      </c>
      <c r="T18" s="54"/>
      <c r="U18" s="391">
        <v>2740591</v>
      </c>
      <c r="V18" s="50"/>
      <c r="W18" s="173">
        <f t="shared" ref="W18:Y18" si="32">+$U18*W$1/100</f>
        <v>61663.297500000001</v>
      </c>
      <c r="X18" s="173">
        <f t="shared" si="32"/>
        <v>34857.576929000003</v>
      </c>
      <c r="Y18" s="173">
        <f t="shared" si="32"/>
        <v>26457.665514000004</v>
      </c>
      <c r="Z18" s="173">
        <f t="shared" ref="Z18" si="33">+W18+X18+Y18</f>
        <v>122978.53994300001</v>
      </c>
      <c r="AA18" s="50"/>
      <c r="AB18" s="262">
        <f>W18*0.529</f>
        <v>32619.884377500002</v>
      </c>
      <c r="AC18" s="57">
        <f>X18*0.529</f>
        <v>18439.658195441003</v>
      </c>
      <c r="AD18" s="57">
        <f>Y18</f>
        <v>26457.665514000004</v>
      </c>
      <c r="AE18" s="261">
        <f>W18*0.15</f>
        <v>9249.4946249999994</v>
      </c>
      <c r="AF18" s="57">
        <f>SUM(AB18:AE18)</f>
        <v>86766.702711941005</v>
      </c>
      <c r="AG18" s="240"/>
      <c r="AH18" s="175">
        <f t="shared" ref="AH18" si="34">+W18-AB18</f>
        <v>29043.413122499998</v>
      </c>
      <c r="AI18" s="174">
        <f t="shared" ref="AI18:AJ18" si="35">+X18-AC18</f>
        <v>16417.918733559</v>
      </c>
      <c r="AJ18" s="174">
        <f t="shared" si="35"/>
        <v>0</v>
      </c>
      <c r="AK18" s="174">
        <f t="shared" ref="AK18" si="36">-AE18</f>
        <v>-9249.4946249999994</v>
      </c>
      <c r="AL18" s="174">
        <f t="shared" ref="AL18" si="37">+Z18-AF18</f>
        <v>36211.837231059006</v>
      </c>
      <c r="AO18" s="305">
        <v>0</v>
      </c>
    </row>
    <row r="19" spans="1:41" s="103" customFormat="1" ht="38.25" customHeight="1" x14ac:dyDescent="0.25">
      <c r="A19" s="245" t="s">
        <v>46</v>
      </c>
      <c r="B19" s="95"/>
      <c r="C19" s="95"/>
      <c r="D19" s="95"/>
      <c r="E19" s="95"/>
      <c r="F19" s="95"/>
      <c r="G19" s="96"/>
      <c r="H19" s="96"/>
      <c r="I19" s="97"/>
      <c r="J19" s="95"/>
      <c r="K19" s="96"/>
      <c r="L19" s="96"/>
      <c r="M19" s="97"/>
      <c r="N19" s="95"/>
      <c r="O19" s="95"/>
      <c r="P19" s="95"/>
      <c r="Q19" s="98"/>
      <c r="R19" s="99"/>
      <c r="S19" s="97"/>
      <c r="T19" s="97"/>
      <c r="U19" s="225"/>
      <c r="V19" s="97"/>
      <c r="W19" s="100"/>
      <c r="X19" s="100"/>
      <c r="Y19" s="100"/>
      <c r="Z19" s="97"/>
      <c r="AA19" s="97"/>
      <c r="AB19" s="100"/>
      <c r="AC19" s="100"/>
      <c r="AD19" s="389"/>
      <c r="AE19" s="101"/>
      <c r="AF19" s="97"/>
      <c r="AG19" s="97"/>
      <c r="AH19" s="97"/>
      <c r="AI19" s="97"/>
      <c r="AJ19" s="97"/>
      <c r="AK19" s="97"/>
      <c r="AL19" s="97"/>
      <c r="AM19" s="102"/>
      <c r="AO19" s="307"/>
    </row>
    <row r="20" spans="1:41" s="43" customFormat="1" ht="25.5" customHeight="1" x14ac:dyDescent="0.2">
      <c r="A20" s="422" t="s">
        <v>78</v>
      </c>
      <c r="B20" s="452" t="s">
        <v>12</v>
      </c>
      <c r="C20" s="46">
        <v>35.074481900000002</v>
      </c>
      <c r="D20" s="46">
        <v>-85.156702999999993</v>
      </c>
      <c r="E20" s="453" t="s">
        <v>146</v>
      </c>
      <c r="F20" s="454">
        <v>26356</v>
      </c>
      <c r="G20" s="456">
        <v>40365</v>
      </c>
      <c r="H20" s="458" t="s">
        <v>71</v>
      </c>
      <c r="I20" s="108"/>
      <c r="J20" s="109" t="s">
        <v>89</v>
      </c>
      <c r="K20" s="110">
        <v>40129</v>
      </c>
      <c r="L20" s="220" t="s">
        <v>71</v>
      </c>
      <c r="M20" s="108"/>
      <c r="N20" s="460">
        <v>2011</v>
      </c>
      <c r="O20" s="460">
        <v>2024</v>
      </c>
      <c r="P20" s="462">
        <v>230</v>
      </c>
      <c r="Q20" s="464">
        <v>38247</v>
      </c>
      <c r="R20" s="112"/>
      <c r="S20" s="466">
        <v>90300000</v>
      </c>
      <c r="T20" s="54"/>
      <c r="U20" s="468">
        <f>32218400+2121669</f>
        <v>34340069</v>
      </c>
      <c r="V20" s="108"/>
      <c r="W20" s="445">
        <f t="shared" ref="W20:Y29" si="38">+$U20*W$1/100</f>
        <v>772651.55249999999</v>
      </c>
      <c r="X20" s="445">
        <f t="shared" si="38"/>
        <v>436771.337611</v>
      </c>
      <c r="Y20" s="445">
        <f t="shared" si="38"/>
        <v>331519.02612600004</v>
      </c>
      <c r="Z20" s="445">
        <f t="shared" ref="Z20:Z29" si="39">+W20+X20+Y20</f>
        <v>1540941.9162370001</v>
      </c>
      <c r="AA20" s="108"/>
      <c r="AB20" s="471">
        <f>397951.58+26206.2</f>
        <v>424157.78</v>
      </c>
      <c r="AC20" s="446">
        <f>224957.61+14814.07</f>
        <v>239771.68</v>
      </c>
      <c r="AD20" s="448">
        <f>Y20</f>
        <v>331519.02612600004</v>
      </c>
      <c r="AE20" s="448"/>
      <c r="AF20" s="448">
        <f t="shared" ref="AF20:AF25" si="40">+AB20+AC20+AD20+AE20</f>
        <v>995448.48612600006</v>
      </c>
      <c r="AG20" s="244"/>
      <c r="AH20" s="450">
        <f t="shared" ref="AH20:AJ20" si="41">+W20-AB20</f>
        <v>348493.77249999996</v>
      </c>
      <c r="AI20" s="487">
        <f t="shared" si="41"/>
        <v>196999.657611</v>
      </c>
      <c r="AJ20" s="487">
        <f t="shared" si="41"/>
        <v>0</v>
      </c>
      <c r="AK20" s="487">
        <f t="shared" ref="AK20" si="42">-AE20</f>
        <v>0</v>
      </c>
      <c r="AL20" s="487">
        <f t="shared" ref="AL20" si="43">+Z20-AF20</f>
        <v>545493.43011100008</v>
      </c>
      <c r="AM20" s="90"/>
      <c r="AO20" s="481"/>
    </row>
    <row r="21" spans="1:41" s="43" customFormat="1" ht="25.5" customHeight="1" x14ac:dyDescent="0.2">
      <c r="A21" s="422"/>
      <c r="B21" s="452"/>
      <c r="C21" s="46"/>
      <c r="D21" s="46"/>
      <c r="E21" s="453"/>
      <c r="F21" s="455"/>
      <c r="G21" s="457"/>
      <c r="H21" s="459"/>
      <c r="I21" s="69"/>
      <c r="J21" s="66" t="s">
        <v>88</v>
      </c>
      <c r="K21" s="211">
        <v>40366</v>
      </c>
      <c r="L21" s="222" t="s">
        <v>71</v>
      </c>
      <c r="M21" s="69"/>
      <c r="N21" s="461"/>
      <c r="O21" s="461"/>
      <c r="P21" s="463"/>
      <c r="Q21" s="465"/>
      <c r="R21" s="144"/>
      <c r="S21" s="467"/>
      <c r="T21" s="264"/>
      <c r="U21" s="469"/>
      <c r="V21" s="69"/>
      <c r="W21" s="470"/>
      <c r="X21" s="470"/>
      <c r="Y21" s="470"/>
      <c r="Z21" s="470"/>
      <c r="AA21" s="69"/>
      <c r="AB21" s="472"/>
      <c r="AC21" s="447"/>
      <c r="AD21" s="449"/>
      <c r="AE21" s="449"/>
      <c r="AF21" s="449"/>
      <c r="AG21" s="69"/>
      <c r="AH21" s="451"/>
      <c r="AI21" s="488"/>
      <c r="AJ21" s="488"/>
      <c r="AK21" s="488"/>
      <c r="AL21" s="488"/>
      <c r="AM21" s="90"/>
      <c r="AO21" s="482"/>
    </row>
    <row r="22" spans="1:41" s="43" customFormat="1" ht="25.5" customHeight="1" x14ac:dyDescent="0.2">
      <c r="A22" s="475" t="s">
        <v>153</v>
      </c>
      <c r="B22" s="475" t="s">
        <v>91</v>
      </c>
      <c r="C22" s="263"/>
      <c r="D22" s="263"/>
      <c r="E22" s="478" t="s">
        <v>156</v>
      </c>
      <c r="F22" s="65">
        <v>28301</v>
      </c>
      <c r="G22" s="67">
        <v>42185</v>
      </c>
      <c r="H22" s="267" t="s">
        <v>71</v>
      </c>
      <c r="I22" s="69"/>
      <c r="J22" s="66" t="s">
        <v>86</v>
      </c>
      <c r="K22" s="211">
        <v>42186</v>
      </c>
      <c r="L22" s="222" t="s">
        <v>71</v>
      </c>
      <c r="M22" s="69"/>
      <c r="N22" s="433">
        <v>2017</v>
      </c>
      <c r="O22" s="433">
        <v>2029</v>
      </c>
      <c r="P22" s="435">
        <f>374+150</f>
        <v>524</v>
      </c>
      <c r="Q22" s="437"/>
      <c r="R22" s="439" t="s">
        <v>169</v>
      </c>
      <c r="S22" s="423">
        <f>140900000+48000000</f>
        <v>188900000</v>
      </c>
      <c r="T22" s="265"/>
      <c r="U22" s="441">
        <f>5443800+5450200+10424782+7230778</f>
        <v>28549560</v>
      </c>
      <c r="V22" s="69"/>
      <c r="W22" s="443">
        <f t="shared" si="38"/>
        <v>642365.1</v>
      </c>
      <c r="X22" s="443">
        <f t="shared" si="38"/>
        <v>363121.85363999999</v>
      </c>
      <c r="Y22" s="443">
        <f t="shared" si="38"/>
        <v>275617.45224000001</v>
      </c>
      <c r="Z22" s="443">
        <f t="shared" ref="Z22" si="44">+W22+X22+Y22</f>
        <v>1281104.40588</v>
      </c>
      <c r="AA22" s="212"/>
      <c r="AB22" s="489">
        <f>W22*0.4</f>
        <v>256946.04</v>
      </c>
      <c r="AC22" s="493">
        <f>X22*0.5</f>
        <v>181560.92681999999</v>
      </c>
      <c r="AD22" s="495">
        <f>Y22</f>
        <v>275617.45224000001</v>
      </c>
      <c r="AE22" s="495">
        <f>SUM(X22:Y23)*0.1253+SUM(W22*0.15)</f>
        <v>176388.80002676399</v>
      </c>
      <c r="AF22" s="497">
        <f t="shared" si="40"/>
        <v>890513.21908676391</v>
      </c>
      <c r="AG22" s="212"/>
      <c r="AH22" s="491">
        <f t="shared" ref="AH22" si="45">+W22-AB22</f>
        <v>385419.05999999994</v>
      </c>
      <c r="AI22" s="485">
        <f t="shared" ref="AI22" si="46">+X22-AC22</f>
        <v>181560.92681999999</v>
      </c>
      <c r="AJ22" s="485">
        <f t="shared" ref="AJ22" si="47">+Y22-AD22</f>
        <v>0</v>
      </c>
      <c r="AK22" s="485">
        <f t="shared" ref="AK22" si="48">-AE22</f>
        <v>-176388.80002676399</v>
      </c>
      <c r="AL22" s="485">
        <f t="shared" ref="AL22" si="49">+Z22-AF22</f>
        <v>390591.18679323606</v>
      </c>
      <c r="AM22" s="90"/>
      <c r="AO22" s="483">
        <f>SUM(X22:Y23)*0.1253</f>
        <v>80034.035026764002</v>
      </c>
    </row>
    <row r="23" spans="1:41" s="43" customFormat="1" ht="25.5" customHeight="1" x14ac:dyDescent="0.2">
      <c r="A23" s="476"/>
      <c r="B23" s="476"/>
      <c r="C23" s="263"/>
      <c r="D23" s="263"/>
      <c r="E23" s="479"/>
      <c r="F23" s="65">
        <v>28424</v>
      </c>
      <c r="G23" s="67">
        <v>42290</v>
      </c>
      <c r="H23" s="267" t="s">
        <v>71</v>
      </c>
      <c r="I23" s="69"/>
      <c r="J23" s="66" t="s">
        <v>90</v>
      </c>
      <c r="K23" s="211">
        <v>42283</v>
      </c>
      <c r="L23" s="222" t="s">
        <v>71</v>
      </c>
      <c r="M23" s="69"/>
      <c r="N23" s="433"/>
      <c r="O23" s="433"/>
      <c r="P23" s="435"/>
      <c r="Q23" s="437"/>
      <c r="R23" s="439"/>
      <c r="S23" s="423"/>
      <c r="T23" s="264"/>
      <c r="U23" s="441"/>
      <c r="V23" s="69"/>
      <c r="W23" s="443"/>
      <c r="X23" s="443"/>
      <c r="Y23" s="443"/>
      <c r="Z23" s="443"/>
      <c r="AA23" s="212"/>
      <c r="AB23" s="489"/>
      <c r="AC23" s="493"/>
      <c r="AD23" s="495"/>
      <c r="AE23" s="495"/>
      <c r="AF23" s="497"/>
      <c r="AG23" s="212"/>
      <c r="AH23" s="491"/>
      <c r="AI23" s="485"/>
      <c r="AJ23" s="485"/>
      <c r="AK23" s="485"/>
      <c r="AL23" s="485"/>
      <c r="AM23" s="90"/>
      <c r="AO23" s="483"/>
    </row>
    <row r="24" spans="1:41" s="43" customFormat="1" ht="25.5" customHeight="1" x14ac:dyDescent="0.2">
      <c r="A24" s="477"/>
      <c r="B24" s="477"/>
      <c r="C24" s="263"/>
      <c r="D24" s="263"/>
      <c r="E24" s="480"/>
      <c r="F24" s="40">
        <v>29847</v>
      </c>
      <c r="G24" s="42">
        <v>43543</v>
      </c>
      <c r="H24" s="120" t="s">
        <v>71</v>
      </c>
      <c r="I24" s="266"/>
      <c r="J24" s="41" t="s">
        <v>168</v>
      </c>
      <c r="K24" s="119">
        <v>43544</v>
      </c>
      <c r="L24" s="221" t="s">
        <v>71</v>
      </c>
      <c r="M24" s="266"/>
      <c r="N24" s="434"/>
      <c r="O24" s="434"/>
      <c r="P24" s="436"/>
      <c r="Q24" s="438"/>
      <c r="R24" s="440"/>
      <c r="S24" s="424"/>
      <c r="T24" s="265"/>
      <c r="U24" s="442"/>
      <c r="V24" s="266"/>
      <c r="W24" s="444"/>
      <c r="X24" s="444"/>
      <c r="Y24" s="444"/>
      <c r="Z24" s="444"/>
      <c r="AA24" s="121"/>
      <c r="AB24" s="490"/>
      <c r="AC24" s="494"/>
      <c r="AD24" s="496"/>
      <c r="AE24" s="496"/>
      <c r="AF24" s="498"/>
      <c r="AG24" s="121"/>
      <c r="AH24" s="492"/>
      <c r="AI24" s="486"/>
      <c r="AJ24" s="486"/>
      <c r="AK24" s="486"/>
      <c r="AL24" s="486"/>
      <c r="AM24" s="90"/>
      <c r="AO24" s="484"/>
    </row>
    <row r="25" spans="1:41" s="43" customFormat="1" ht="25.5" customHeight="1" x14ac:dyDescent="0.2">
      <c r="A25" s="476" t="s">
        <v>149</v>
      </c>
      <c r="B25" s="476" t="s">
        <v>150</v>
      </c>
      <c r="C25" s="273"/>
      <c r="D25" s="273"/>
      <c r="E25" s="479" t="s">
        <v>181</v>
      </c>
      <c r="F25" s="65">
        <v>29248</v>
      </c>
      <c r="G25" s="67">
        <v>43060</v>
      </c>
      <c r="H25" s="267" t="s">
        <v>71</v>
      </c>
      <c r="I25" s="69"/>
      <c r="J25" s="66" t="s">
        <v>151</v>
      </c>
      <c r="K25" s="211">
        <v>43054</v>
      </c>
      <c r="L25" s="260" t="s">
        <v>71</v>
      </c>
      <c r="M25" s="69"/>
      <c r="N25" s="433">
        <v>2019</v>
      </c>
      <c r="O25" s="433">
        <v>2025</v>
      </c>
      <c r="P25" s="473">
        <v>110</v>
      </c>
      <c r="Q25" s="437"/>
      <c r="R25" s="144"/>
      <c r="S25" s="423">
        <v>42700000</v>
      </c>
      <c r="T25" s="265"/>
      <c r="U25" s="441">
        <f>96440+21840+2699952+4088770</f>
        <v>6907002</v>
      </c>
      <c r="V25" s="69"/>
      <c r="W25" s="444">
        <f t="shared" si="38"/>
        <v>155407.54500000001</v>
      </c>
      <c r="X25" s="444">
        <f t="shared" si="38"/>
        <v>87850.158438000013</v>
      </c>
      <c r="Y25" s="444">
        <f t="shared" si="38"/>
        <v>66680.197308000003</v>
      </c>
      <c r="Z25" s="444">
        <f t="shared" ref="Z25" si="50">+W25+X25+Y25</f>
        <v>309937.900746</v>
      </c>
      <c r="AA25" s="212"/>
      <c r="AB25" s="490">
        <f>W25*0.5</f>
        <v>77703.772500000006</v>
      </c>
      <c r="AC25" s="493">
        <f>X25*0.5</f>
        <v>43925.079219000007</v>
      </c>
      <c r="AD25" s="495">
        <f>Y25</f>
        <v>66680.197308000003</v>
      </c>
      <c r="AE25" s="495">
        <f>SUM(X25)*0.15+SUM(W25*0.15)</f>
        <v>36488.655515700004</v>
      </c>
      <c r="AF25" s="498">
        <f t="shared" si="40"/>
        <v>224797.70454270003</v>
      </c>
      <c r="AG25" s="212"/>
      <c r="AH25" s="492">
        <f t="shared" ref="AH25" si="51">+W25-AB25</f>
        <v>77703.772500000006</v>
      </c>
      <c r="AI25" s="486">
        <f t="shared" ref="AI25" si="52">+X25-AC25</f>
        <v>43925.079219000007</v>
      </c>
      <c r="AJ25" s="486">
        <f t="shared" ref="AJ25" si="53">+Y25-AD25</f>
        <v>0</v>
      </c>
      <c r="AK25" s="486">
        <f t="shared" ref="AK25" si="54">-AE25</f>
        <v>-36488.655515700004</v>
      </c>
      <c r="AL25" s="486">
        <f t="shared" ref="AL25" si="55">+Z25-AF25</f>
        <v>85140.196203299973</v>
      </c>
      <c r="AM25" s="90"/>
      <c r="AO25" s="483">
        <f>SUM(X25)*0.15</f>
        <v>13177.523765700002</v>
      </c>
    </row>
    <row r="26" spans="1:41" s="43" customFormat="1" ht="25.5" customHeight="1" x14ac:dyDescent="0.2">
      <c r="A26" s="477"/>
      <c r="B26" s="477"/>
      <c r="C26" s="272"/>
      <c r="D26" s="272"/>
      <c r="E26" s="480"/>
      <c r="F26" s="40"/>
      <c r="G26" s="42"/>
      <c r="H26" s="120"/>
      <c r="I26" s="120"/>
      <c r="J26" s="120"/>
      <c r="K26" s="120"/>
      <c r="L26" s="120"/>
      <c r="M26" s="120"/>
      <c r="N26" s="434"/>
      <c r="O26" s="434"/>
      <c r="P26" s="474"/>
      <c r="Q26" s="438"/>
      <c r="R26" s="120"/>
      <c r="S26" s="424"/>
      <c r="T26" s="210"/>
      <c r="U26" s="442"/>
      <c r="V26" s="69"/>
      <c r="W26" s="445"/>
      <c r="X26" s="445"/>
      <c r="Y26" s="445"/>
      <c r="Z26" s="445"/>
      <c r="AA26" s="212"/>
      <c r="AB26" s="499"/>
      <c r="AC26" s="494"/>
      <c r="AD26" s="496"/>
      <c r="AE26" s="496">
        <f t="shared" ref="AE26" si="56">SUM(X26*0.15)+SUM(W26*0.15)</f>
        <v>0</v>
      </c>
      <c r="AF26" s="448"/>
      <c r="AG26" s="212"/>
      <c r="AH26" s="450"/>
      <c r="AI26" s="487"/>
      <c r="AJ26" s="487"/>
      <c r="AK26" s="487"/>
      <c r="AL26" s="487"/>
      <c r="AM26" s="90"/>
      <c r="AO26" s="484">
        <f t="shared" ref="AO26" si="57">SUM(AH26*0.15)+SUM(AG26*0.15)</f>
        <v>0</v>
      </c>
    </row>
    <row r="27" spans="1:41" s="43" customFormat="1" ht="25.5" customHeight="1" x14ac:dyDescent="0.2">
      <c r="A27" s="334" t="s">
        <v>182</v>
      </c>
      <c r="B27" s="334"/>
      <c r="C27" s="335"/>
      <c r="D27" s="335"/>
      <c r="E27" s="336"/>
      <c r="F27" s="40"/>
      <c r="G27" s="42"/>
      <c r="H27" s="120"/>
      <c r="I27" s="324"/>
      <c r="J27" s="66" t="s">
        <v>183</v>
      </c>
      <c r="K27" s="211">
        <v>44062</v>
      </c>
      <c r="L27" s="222" t="s">
        <v>71</v>
      </c>
      <c r="M27" s="324"/>
      <c r="N27" s="327">
        <v>2024</v>
      </c>
      <c r="O27" s="327"/>
      <c r="P27" s="332">
        <v>125</v>
      </c>
      <c r="Q27" s="328">
        <v>48000</v>
      </c>
      <c r="R27" s="329"/>
      <c r="S27" s="330">
        <v>75000000</v>
      </c>
      <c r="T27" s="319"/>
      <c r="U27" s="390"/>
      <c r="V27" s="324"/>
      <c r="W27" s="320"/>
      <c r="X27" s="320"/>
      <c r="Y27" s="320"/>
      <c r="Z27" s="320"/>
      <c r="AA27" s="212"/>
      <c r="AB27" s="331"/>
      <c r="AC27" s="325"/>
      <c r="AD27" s="326"/>
      <c r="AE27" s="326"/>
      <c r="AF27" s="321"/>
      <c r="AG27" s="212"/>
      <c r="AH27" s="323"/>
      <c r="AI27" s="322"/>
      <c r="AJ27" s="322"/>
      <c r="AK27" s="322"/>
      <c r="AL27" s="322"/>
      <c r="AM27" s="90"/>
      <c r="AO27" s="333"/>
    </row>
    <row r="28" spans="1:41" s="43" customFormat="1" ht="25.5" customHeight="1" x14ac:dyDescent="0.2">
      <c r="A28" s="44" t="s">
        <v>18</v>
      </c>
      <c r="B28" s="45" t="s">
        <v>19</v>
      </c>
      <c r="C28" s="46">
        <v>35.057448999999998</v>
      </c>
      <c r="D28" s="46">
        <v>-85.196417699999998</v>
      </c>
      <c r="E28" s="47" t="s">
        <v>172</v>
      </c>
      <c r="F28" s="46">
        <v>24923</v>
      </c>
      <c r="G28" s="48">
        <v>39014</v>
      </c>
      <c r="H28" s="49" t="s">
        <v>71</v>
      </c>
      <c r="I28" s="50"/>
      <c r="J28" s="46" t="s">
        <v>58</v>
      </c>
      <c r="K28" s="48">
        <v>39008</v>
      </c>
      <c r="L28" s="139" t="s">
        <v>71</v>
      </c>
      <c r="M28" s="50"/>
      <c r="N28" s="51">
        <v>2007</v>
      </c>
      <c r="O28" s="51">
        <v>2018</v>
      </c>
      <c r="P28" s="82">
        <v>150</v>
      </c>
      <c r="Q28" s="52">
        <v>49000</v>
      </c>
      <c r="R28" s="53"/>
      <c r="S28" s="54">
        <f>18000000+5000000</f>
        <v>23000000</v>
      </c>
      <c r="T28" s="54"/>
      <c r="U28" s="387">
        <v>1163150</v>
      </c>
      <c r="V28" s="50"/>
      <c r="W28" s="55">
        <f t="shared" si="38"/>
        <v>26170.875</v>
      </c>
      <c r="X28" s="55">
        <f t="shared" si="38"/>
        <v>14794.104850000002</v>
      </c>
      <c r="Y28" s="55">
        <f t="shared" si="38"/>
        <v>11229.0501</v>
      </c>
      <c r="Z28" s="55">
        <f t="shared" si="39"/>
        <v>52194.029950000004</v>
      </c>
      <c r="AA28" s="50"/>
      <c r="AB28" s="62">
        <f>W28</f>
        <v>26170.875</v>
      </c>
      <c r="AC28" s="61">
        <f>X28</f>
        <v>14794.104850000002</v>
      </c>
      <c r="AD28" s="61">
        <f>Y28</f>
        <v>11229.0501</v>
      </c>
      <c r="AE28" s="57"/>
      <c r="AF28" s="57">
        <f>+AB28+AC28+AD28+AE28</f>
        <v>52194.029950000004</v>
      </c>
      <c r="AG28" s="240"/>
      <c r="AH28" s="58">
        <f t="shared" ref="AH28:AJ29" si="58">+W28-AB28</f>
        <v>0</v>
      </c>
      <c r="AI28" s="59">
        <f t="shared" si="58"/>
        <v>0</v>
      </c>
      <c r="AJ28" s="59">
        <f t="shared" si="58"/>
        <v>0</v>
      </c>
      <c r="AK28" s="59">
        <f>-AE28</f>
        <v>0</v>
      </c>
      <c r="AL28" s="59">
        <f>+Z28-AF28</f>
        <v>0</v>
      </c>
      <c r="AM28" s="125"/>
      <c r="AO28" s="305"/>
    </row>
    <row r="29" spans="1:41" s="43" customFormat="1" ht="26.25" customHeight="1" x14ac:dyDescent="0.2">
      <c r="A29" s="44" t="s">
        <v>18</v>
      </c>
      <c r="B29" s="45" t="s">
        <v>19</v>
      </c>
      <c r="C29" s="46"/>
      <c r="D29" s="46"/>
      <c r="E29" s="47" t="s">
        <v>64</v>
      </c>
      <c r="F29" s="46">
        <v>26441</v>
      </c>
      <c r="G29" s="48">
        <v>40442</v>
      </c>
      <c r="H29" s="49" t="s">
        <v>71</v>
      </c>
      <c r="I29" s="50"/>
      <c r="J29" s="46" t="s">
        <v>57</v>
      </c>
      <c r="K29" s="48">
        <v>40457</v>
      </c>
      <c r="L29" s="139" t="s">
        <v>71</v>
      </c>
      <c r="M29" s="50"/>
      <c r="N29" s="51">
        <v>2011</v>
      </c>
      <c r="O29" s="51">
        <v>2023</v>
      </c>
      <c r="P29" s="82">
        <v>54</v>
      </c>
      <c r="Q29" s="52">
        <v>69500</v>
      </c>
      <c r="R29" s="53"/>
      <c r="S29" s="54">
        <f>18800000+4300000</f>
        <v>23100000</v>
      </c>
      <c r="T29" s="54"/>
      <c r="U29" s="387">
        <f>803370+291581</f>
        <v>1094951</v>
      </c>
      <c r="V29" s="50"/>
      <c r="W29" s="55">
        <f t="shared" si="38"/>
        <v>24636.397499999999</v>
      </c>
      <c r="X29" s="55">
        <f t="shared" si="38"/>
        <v>13926.681769000001</v>
      </c>
      <c r="Y29" s="55">
        <f>ROUND(+$U29*Y$1/100,2)</f>
        <v>10570.66</v>
      </c>
      <c r="Z29" s="55">
        <f t="shared" si="39"/>
        <v>49133.739268999998</v>
      </c>
      <c r="AA29" s="50"/>
      <c r="AB29" s="56">
        <v>0</v>
      </c>
      <c r="AC29" s="57">
        <v>0</v>
      </c>
      <c r="AD29" s="57">
        <f>Y29</f>
        <v>10570.66</v>
      </c>
      <c r="AE29" s="57"/>
      <c r="AF29" s="57">
        <f>+AB29+AC29+AD29+AE29</f>
        <v>10570.66</v>
      </c>
      <c r="AG29" s="240"/>
      <c r="AH29" s="58">
        <f t="shared" si="58"/>
        <v>24636.397499999999</v>
      </c>
      <c r="AI29" s="59">
        <f t="shared" si="58"/>
        <v>13926.681769000001</v>
      </c>
      <c r="AJ29" s="59">
        <f t="shared" si="58"/>
        <v>0</v>
      </c>
      <c r="AK29" s="59">
        <f>-AE29</f>
        <v>0</v>
      </c>
      <c r="AL29" s="59">
        <f>+Z29-AF29</f>
        <v>38563.079268999994</v>
      </c>
      <c r="AO29" s="305"/>
    </row>
    <row r="30" spans="1:41" s="43" customFormat="1" ht="26.25" customHeight="1" x14ac:dyDescent="0.2">
      <c r="A30" s="44"/>
      <c r="B30" s="45"/>
      <c r="C30" s="46"/>
      <c r="D30" s="46"/>
      <c r="E30" s="47"/>
      <c r="F30" s="46"/>
      <c r="G30" s="48"/>
      <c r="H30" s="49"/>
      <c r="I30" s="50"/>
      <c r="J30" s="46"/>
      <c r="K30" s="48"/>
      <c r="L30" s="139"/>
      <c r="M30" s="50"/>
      <c r="N30" s="51"/>
      <c r="O30" s="51"/>
      <c r="P30" s="82"/>
      <c r="Q30" s="52"/>
      <c r="R30" s="53"/>
      <c r="S30" s="54"/>
      <c r="T30" s="54"/>
      <c r="U30" s="317"/>
      <c r="V30" s="50"/>
      <c r="W30" s="409"/>
      <c r="X30" s="55"/>
      <c r="Y30" s="55"/>
      <c r="Z30" s="55"/>
      <c r="AA30" s="50"/>
      <c r="AB30" s="56"/>
      <c r="AC30" s="57"/>
      <c r="AD30" s="57"/>
      <c r="AE30" s="57"/>
      <c r="AF30" s="57"/>
      <c r="AG30" s="240"/>
      <c r="AH30" s="58"/>
      <c r="AI30" s="59"/>
      <c r="AJ30" s="59"/>
      <c r="AK30" s="59"/>
      <c r="AL30" s="59"/>
      <c r="AO30" s="305"/>
    </row>
    <row r="31" spans="1:41" s="43" customFormat="1" ht="26.25" customHeight="1" x14ac:dyDescent="0.2">
      <c r="A31" s="334" t="s">
        <v>225</v>
      </c>
      <c r="B31" s="334"/>
      <c r="C31" s="334"/>
      <c r="D31" s="334"/>
      <c r="E31" s="334"/>
      <c r="F31" s="398"/>
      <c r="G31" s="399"/>
      <c r="H31" s="400"/>
      <c r="I31" s="405"/>
      <c r="J31" s="398" t="s">
        <v>226</v>
      </c>
      <c r="K31" s="399">
        <v>45035</v>
      </c>
      <c r="L31" s="139"/>
      <c r="M31" s="405"/>
      <c r="N31" s="401">
        <v>2027</v>
      </c>
      <c r="O31" s="401"/>
      <c r="P31" s="402">
        <v>90</v>
      </c>
      <c r="Q31" s="403">
        <v>48800</v>
      </c>
      <c r="R31" s="53"/>
      <c r="S31" s="404">
        <v>21000000</v>
      </c>
      <c r="T31" s="404"/>
      <c r="U31" s="405"/>
      <c r="V31" s="405"/>
      <c r="W31" s="392">
        <f>U31*1.25/100</f>
        <v>0</v>
      </c>
      <c r="X31" s="392">
        <f>U31*X1/100</f>
        <v>0</v>
      </c>
      <c r="Y31" s="392">
        <f>U31*Y1/100</f>
        <v>0</v>
      </c>
      <c r="Z31" s="392">
        <f>+W31+X31+Y31</f>
        <v>0</v>
      </c>
      <c r="AA31" s="405"/>
      <c r="AB31" s="406"/>
      <c r="AC31" s="394"/>
      <c r="AD31" s="394"/>
      <c r="AE31" s="394"/>
      <c r="AF31" s="394"/>
      <c r="AG31" s="405"/>
      <c r="AH31" s="395"/>
      <c r="AI31" s="407"/>
      <c r="AJ31" s="407"/>
      <c r="AK31" s="407"/>
      <c r="AL31" s="407"/>
      <c r="AO31" s="408"/>
    </row>
    <row r="32" spans="1:41" s="43" customFormat="1" ht="26.25" customHeight="1" x14ac:dyDescent="0.2">
      <c r="A32" s="315"/>
      <c r="B32" s="396"/>
      <c r="C32" s="398"/>
      <c r="D32" s="398"/>
      <c r="E32" s="397"/>
      <c r="F32" s="398"/>
      <c r="G32" s="399"/>
      <c r="H32" s="400"/>
      <c r="I32" s="405"/>
      <c r="J32" s="398"/>
      <c r="K32" s="399"/>
      <c r="L32" s="139"/>
      <c r="M32" s="405"/>
      <c r="N32" s="401"/>
      <c r="O32" s="401"/>
      <c r="P32" s="402"/>
      <c r="Q32" s="403"/>
      <c r="R32" s="53"/>
      <c r="S32" s="404"/>
      <c r="T32" s="404"/>
      <c r="U32" s="405"/>
      <c r="V32" s="405"/>
      <c r="W32" s="392"/>
      <c r="X32" s="392"/>
      <c r="Y32" s="392"/>
      <c r="Z32" s="392"/>
      <c r="AA32" s="405"/>
      <c r="AB32" s="406"/>
      <c r="AC32" s="394"/>
      <c r="AD32" s="394"/>
      <c r="AE32" s="394"/>
      <c r="AF32" s="394"/>
      <c r="AG32" s="405"/>
      <c r="AH32" s="395"/>
      <c r="AI32" s="407"/>
      <c r="AJ32" s="407"/>
      <c r="AK32" s="407"/>
      <c r="AL32" s="407"/>
      <c r="AO32" s="408"/>
    </row>
    <row r="33" spans="1:45" s="43" customFormat="1" ht="26.25" customHeight="1" x14ac:dyDescent="0.2">
      <c r="A33" s="208" t="s">
        <v>73</v>
      </c>
      <c r="B33" s="126" t="s">
        <v>92</v>
      </c>
      <c r="C33" s="126"/>
      <c r="D33" s="126"/>
      <c r="E33" s="131" t="s">
        <v>148</v>
      </c>
      <c r="F33" s="46">
        <v>472</v>
      </c>
      <c r="G33" s="48">
        <v>42310</v>
      </c>
      <c r="H33" s="337" t="s">
        <v>71</v>
      </c>
      <c r="I33" s="50"/>
      <c r="J33" s="46" t="s">
        <v>93</v>
      </c>
      <c r="K33" s="48">
        <v>42305</v>
      </c>
      <c r="L33" s="137" t="s">
        <v>71</v>
      </c>
      <c r="M33" s="50"/>
      <c r="N33" s="51">
        <v>2017</v>
      </c>
      <c r="O33" s="51">
        <v>2026</v>
      </c>
      <c r="P33" s="122">
        <v>50</v>
      </c>
      <c r="Q33" s="127">
        <v>43843</v>
      </c>
      <c r="R33" s="128"/>
      <c r="S33" s="129">
        <v>102500000</v>
      </c>
      <c r="T33" s="129"/>
      <c r="U33" s="387">
        <f>5770560+8765609</f>
        <v>14536169</v>
      </c>
      <c r="V33" s="50"/>
      <c r="W33" s="203">
        <f>+$U33*1.55/100</f>
        <v>225310.6195</v>
      </c>
      <c r="X33" s="203">
        <f t="shared" ref="X33:Y34" si="59">+$U33*X$1/100</f>
        <v>184885.53351100002</v>
      </c>
      <c r="Y33" s="203">
        <f t="shared" si="59"/>
        <v>140332.17552600001</v>
      </c>
      <c r="Z33" s="203">
        <f>+W33+X33+Y33</f>
        <v>550528.32853699999</v>
      </c>
      <c r="AA33" s="50"/>
      <c r="AB33" s="130">
        <f>W33*0.5</f>
        <v>112655.30975</v>
      </c>
      <c r="AC33" s="130">
        <f>X33*0.5</f>
        <v>92442.766755500008</v>
      </c>
      <c r="AD33" s="130">
        <f>Y33</f>
        <v>140332.17552600001</v>
      </c>
      <c r="AE33" s="242">
        <f>SUM(W33*0.15)+SUM(X33:Y33)*0.1253</f>
        <v>74546.3718673361</v>
      </c>
      <c r="AF33" s="205">
        <f>+AB33+AC33+AD33+AE33</f>
        <v>419976.62389883609</v>
      </c>
      <c r="AG33" s="240"/>
      <c r="AH33" s="206">
        <f t="shared" ref="AH33:AJ33" si="60">+W33-AB33</f>
        <v>112655.30975</v>
      </c>
      <c r="AI33" s="204">
        <f t="shared" si="60"/>
        <v>92442.766755500008</v>
      </c>
      <c r="AJ33" s="204">
        <f t="shared" si="60"/>
        <v>0</v>
      </c>
      <c r="AK33" s="204">
        <f>-AE33</f>
        <v>-74546.3718673361</v>
      </c>
      <c r="AL33" s="204">
        <f>+Z33-AF33</f>
        <v>130551.70463816391</v>
      </c>
      <c r="AO33" s="305">
        <f>SUM(X33:Y33)*0.1253</f>
        <v>40749.778942336103</v>
      </c>
    </row>
    <row r="34" spans="1:45" s="43" customFormat="1" ht="26.25" customHeight="1" x14ac:dyDescent="0.2">
      <c r="A34" s="300" t="s">
        <v>73</v>
      </c>
      <c r="B34" s="126" t="s">
        <v>179</v>
      </c>
      <c r="C34" s="126"/>
      <c r="D34" s="126"/>
      <c r="E34" s="131" t="s">
        <v>188</v>
      </c>
      <c r="F34" s="318">
        <v>514</v>
      </c>
      <c r="G34" s="85">
        <v>43927</v>
      </c>
      <c r="H34" s="137" t="s">
        <v>71</v>
      </c>
      <c r="I34" s="297"/>
      <c r="J34" s="298" t="s">
        <v>178</v>
      </c>
      <c r="K34" s="299">
        <v>43908</v>
      </c>
      <c r="L34" s="137" t="s">
        <v>71</v>
      </c>
      <c r="M34" s="297"/>
      <c r="N34" s="296">
        <v>2020</v>
      </c>
      <c r="O34" s="296">
        <v>2034</v>
      </c>
      <c r="P34" s="122">
        <v>482</v>
      </c>
      <c r="Q34" s="127">
        <v>45000</v>
      </c>
      <c r="R34" s="128" t="s">
        <v>180</v>
      </c>
      <c r="S34" s="129">
        <v>505000000</v>
      </c>
      <c r="T34" s="129"/>
      <c r="U34" s="387">
        <f>3848425+286000</f>
        <v>4134425</v>
      </c>
      <c r="V34" s="297"/>
      <c r="W34" s="355">
        <f>+$U34*1.55/100</f>
        <v>64083.587500000001</v>
      </c>
      <c r="X34" s="355">
        <f t="shared" si="59"/>
        <v>52585.751574999995</v>
      </c>
      <c r="Y34" s="355">
        <f t="shared" si="59"/>
        <v>39913.738949999999</v>
      </c>
      <c r="Z34" s="355">
        <f>+W34+X34+Y34</f>
        <v>156583.078025</v>
      </c>
      <c r="AA34" s="297"/>
      <c r="AB34" s="130">
        <v>0</v>
      </c>
      <c r="AC34" s="130">
        <v>0</v>
      </c>
      <c r="AD34" s="130">
        <f>Y34</f>
        <v>39913.738949999999</v>
      </c>
      <c r="AE34" s="295"/>
      <c r="AF34" s="351">
        <f>+AB34+AC34+AD34+AE34</f>
        <v>39913.738949999999</v>
      </c>
      <c r="AG34" s="297"/>
      <c r="AH34" s="352">
        <f t="shared" ref="AH34" si="61">+W34-AB34</f>
        <v>64083.587500000001</v>
      </c>
      <c r="AI34" s="350">
        <f t="shared" ref="AI34" si="62">+X34-AC34</f>
        <v>52585.751574999995</v>
      </c>
      <c r="AJ34" s="350">
        <f t="shared" ref="AJ34" si="63">+Y34-AD34</f>
        <v>0</v>
      </c>
      <c r="AK34" s="350">
        <f>-AE34</f>
        <v>0</v>
      </c>
      <c r="AL34" s="350">
        <f>+Z34-AF34</f>
        <v>116669.339075</v>
      </c>
      <c r="AO34" s="308"/>
    </row>
    <row r="35" spans="1:45" s="19" customFormat="1" ht="38.25" customHeight="1" x14ac:dyDescent="0.25">
      <c r="A35" s="245" t="s">
        <v>45</v>
      </c>
      <c r="B35" s="246"/>
      <c r="C35" s="246"/>
      <c r="D35" s="246"/>
      <c r="E35" s="246"/>
      <c r="F35" s="247"/>
      <c r="G35" s="248"/>
      <c r="H35" s="248"/>
      <c r="I35" s="249"/>
      <c r="J35" s="246"/>
      <c r="K35" s="250"/>
      <c r="L35" s="251"/>
      <c r="M35" s="249"/>
      <c r="N35" s="246"/>
      <c r="O35" s="246"/>
      <c r="P35" s="246"/>
      <c r="Q35" s="252"/>
      <c r="R35" s="253"/>
      <c r="S35" s="249"/>
      <c r="T35" s="249"/>
      <c r="U35" s="254"/>
      <c r="V35" s="249"/>
      <c r="W35" s="255"/>
      <c r="X35" s="255"/>
      <c r="Y35" s="255"/>
      <c r="Z35" s="249"/>
      <c r="AA35" s="249"/>
      <c r="AB35" s="255"/>
      <c r="AC35" s="255"/>
      <c r="AD35" s="249"/>
      <c r="AE35" s="256"/>
      <c r="AF35" s="249"/>
      <c r="AG35" s="249"/>
      <c r="AH35" s="249"/>
      <c r="AI35" s="249"/>
      <c r="AJ35" s="249"/>
      <c r="AK35" s="249"/>
      <c r="AL35" s="249"/>
      <c r="AO35" s="309"/>
    </row>
    <row r="36" spans="1:45" s="135" customFormat="1" ht="37.15" customHeight="1" x14ac:dyDescent="0.2">
      <c r="A36" s="169" t="s">
        <v>173</v>
      </c>
      <c r="B36" s="131"/>
      <c r="C36" s="131"/>
      <c r="D36" s="131"/>
      <c r="E36" s="131" t="s">
        <v>125</v>
      </c>
      <c r="F36" s="46">
        <v>28256</v>
      </c>
      <c r="G36" s="48">
        <v>42164</v>
      </c>
      <c r="H36" s="87" t="s">
        <v>71</v>
      </c>
      <c r="I36" s="83"/>
      <c r="J36" s="131" t="s">
        <v>77</v>
      </c>
      <c r="K36" s="132">
        <v>42186</v>
      </c>
      <c r="L36" s="137" t="s">
        <v>71</v>
      </c>
      <c r="M36" s="83"/>
      <c r="N36" s="131">
        <v>2017</v>
      </c>
      <c r="O36" s="131">
        <v>2030</v>
      </c>
      <c r="P36" s="131"/>
      <c r="Q36" s="52"/>
      <c r="R36" s="133" t="s">
        <v>83</v>
      </c>
      <c r="S36" s="83"/>
      <c r="T36" s="83"/>
      <c r="U36" s="83">
        <f>11914520+26585</f>
        <v>11941105</v>
      </c>
      <c r="V36" s="83"/>
      <c r="W36" s="161">
        <f t="shared" ref="W36:Y52" si="64">+$U36*W$1/100</f>
        <v>268674.86249999999</v>
      </c>
      <c r="X36" s="161">
        <f t="shared" si="64"/>
        <v>151878.914495</v>
      </c>
      <c r="Y36" s="161">
        <f t="shared" si="64"/>
        <v>115279.42767</v>
      </c>
      <c r="Z36" s="161">
        <f t="shared" ref="Z36" si="65">+W36+X36+Y36</f>
        <v>535833.20466499997</v>
      </c>
      <c r="AA36" s="83"/>
      <c r="AB36" s="134">
        <v>0</v>
      </c>
      <c r="AC36" s="134">
        <v>0</v>
      </c>
      <c r="AD36" s="134">
        <f t="shared" ref="AD36:AD42" si="66">Y36</f>
        <v>115279.42767</v>
      </c>
      <c r="AE36" s="134"/>
      <c r="AF36" s="163">
        <f t="shared" ref="AF36:AF52" si="67">+AB36+AC36+AD36+AE36</f>
        <v>115279.42767</v>
      </c>
      <c r="AG36" s="83"/>
      <c r="AH36" s="164">
        <f t="shared" ref="AH36" si="68">+W36-AB36</f>
        <v>268674.86249999999</v>
      </c>
      <c r="AI36" s="162">
        <f t="shared" ref="AI36" si="69">+X36-AC36</f>
        <v>151878.914495</v>
      </c>
      <c r="AJ36" s="162">
        <f t="shared" ref="AJ36" si="70">+Y36-AD36</f>
        <v>0</v>
      </c>
      <c r="AK36" s="162">
        <f t="shared" ref="AK36" si="71">-AE36</f>
        <v>0</v>
      </c>
      <c r="AL36" s="162">
        <f t="shared" ref="AL36" si="72">+Z36-AF36</f>
        <v>420553.77699499996</v>
      </c>
      <c r="AO36" s="310"/>
    </row>
    <row r="37" spans="1:45" s="135" customFormat="1" ht="40.5" customHeight="1" x14ac:dyDescent="0.2">
      <c r="A37" s="202" t="s">
        <v>140</v>
      </c>
      <c r="B37" s="189" t="s">
        <v>141</v>
      </c>
      <c r="C37" s="131"/>
      <c r="D37" s="131"/>
      <c r="E37" s="131" t="s">
        <v>187</v>
      </c>
      <c r="F37" s="190">
        <v>29215</v>
      </c>
      <c r="G37" s="191">
        <v>43025</v>
      </c>
      <c r="H37" s="187" t="s">
        <v>71</v>
      </c>
      <c r="I37" s="83"/>
      <c r="J37" s="131" t="s">
        <v>139</v>
      </c>
      <c r="K37" s="132">
        <v>43089</v>
      </c>
      <c r="L37" s="137" t="s">
        <v>71</v>
      </c>
      <c r="M37" s="83"/>
      <c r="N37" s="131">
        <v>2018</v>
      </c>
      <c r="O37" s="131">
        <v>2032</v>
      </c>
      <c r="P37" s="131"/>
      <c r="Q37" s="188"/>
      <c r="R37" s="133"/>
      <c r="S37" s="83"/>
      <c r="T37" s="83"/>
      <c r="U37" s="83">
        <f>3991760+1203</f>
        <v>3992963</v>
      </c>
      <c r="V37" s="83"/>
      <c r="W37" s="215">
        <f>(1466880+3250)*W$1/100</f>
        <v>33077.925000000003</v>
      </c>
      <c r="X37" s="215">
        <f t="shared" si="64"/>
        <v>50786.496397000003</v>
      </c>
      <c r="Y37" s="215">
        <f t="shared" si="64"/>
        <v>38548.064802000001</v>
      </c>
      <c r="Z37" s="215">
        <f t="shared" ref="Z37:Z38" si="73">+W37+X37+Y37</f>
        <v>122412.48619900001</v>
      </c>
      <c r="AA37" s="83"/>
      <c r="AB37" s="134">
        <f>W37</f>
        <v>33077.925000000003</v>
      </c>
      <c r="AC37" s="217">
        <f>X37</f>
        <v>50786.496397000003</v>
      </c>
      <c r="AD37" s="134">
        <f t="shared" si="66"/>
        <v>38548.064802000001</v>
      </c>
      <c r="AE37" s="134"/>
      <c r="AF37" s="217">
        <f t="shared" si="67"/>
        <v>122412.48619900001</v>
      </c>
      <c r="AG37" s="83"/>
      <c r="AH37" s="218">
        <f t="shared" ref="AH37:AH39" si="74">+W37-AB37</f>
        <v>0</v>
      </c>
      <c r="AI37" s="216">
        <f t="shared" ref="AI37:AI38" si="75">+X37-AC37</f>
        <v>0</v>
      </c>
      <c r="AJ37" s="216">
        <f t="shared" ref="AJ37:AJ39" si="76">+Y37-AD37</f>
        <v>0</v>
      </c>
      <c r="AK37" s="216">
        <f t="shared" ref="AK37:AK38" si="77">-AE37</f>
        <v>0</v>
      </c>
      <c r="AL37" s="216">
        <f t="shared" ref="AL37:AL39" si="78">+Z37-AF37</f>
        <v>0</v>
      </c>
      <c r="AO37" s="310"/>
    </row>
    <row r="38" spans="1:45" s="135" customFormat="1" ht="40.5" customHeight="1" x14ac:dyDescent="0.2">
      <c r="A38" s="202" t="s">
        <v>198</v>
      </c>
      <c r="B38" s="366" t="s">
        <v>199</v>
      </c>
      <c r="C38" s="131"/>
      <c r="D38" s="131"/>
      <c r="E38" s="131" t="s">
        <v>206</v>
      </c>
      <c r="F38" s="353">
        <v>30577</v>
      </c>
      <c r="G38" s="354">
        <v>44180</v>
      </c>
      <c r="H38" s="361" t="s">
        <v>71</v>
      </c>
      <c r="I38" s="83"/>
      <c r="J38" s="131" t="s">
        <v>200</v>
      </c>
      <c r="K38" s="132">
        <v>44181</v>
      </c>
      <c r="L38" s="137" t="s">
        <v>71</v>
      </c>
      <c r="M38" s="83"/>
      <c r="N38" s="131">
        <v>2022</v>
      </c>
      <c r="O38" s="131">
        <v>2036</v>
      </c>
      <c r="P38" s="131"/>
      <c r="Q38" s="357"/>
      <c r="R38" s="133" t="s">
        <v>201</v>
      </c>
      <c r="S38" s="83"/>
      <c r="T38" s="83"/>
      <c r="U38" s="83">
        <f>776880+2186</f>
        <v>779066</v>
      </c>
      <c r="V38" s="83"/>
      <c r="W38" s="355">
        <f t="shared" si="64"/>
        <v>17528.985000000001</v>
      </c>
      <c r="X38" s="355">
        <f t="shared" si="64"/>
        <v>9908.9404540000014</v>
      </c>
      <c r="Y38" s="355">
        <f t="shared" si="64"/>
        <v>7521.1031640000001</v>
      </c>
      <c r="Z38" s="355">
        <f t="shared" si="73"/>
        <v>34959.028618000004</v>
      </c>
      <c r="AA38" s="83"/>
      <c r="AB38" s="134">
        <v>0</v>
      </c>
      <c r="AC38" s="134">
        <v>0</v>
      </c>
      <c r="AD38" s="134">
        <f t="shared" si="66"/>
        <v>7521.1031640000001</v>
      </c>
      <c r="AE38" s="134"/>
      <c r="AF38" s="365">
        <f t="shared" ref="AF38:AF39" si="79">+AB38+AC38+AD38+AE38</f>
        <v>7521.1031640000001</v>
      </c>
      <c r="AG38" s="83"/>
      <c r="AH38" s="352">
        <f t="shared" si="74"/>
        <v>17528.985000000001</v>
      </c>
      <c r="AI38" s="350">
        <f t="shared" si="75"/>
        <v>9908.9404540000014</v>
      </c>
      <c r="AJ38" s="350">
        <f t="shared" si="76"/>
        <v>0</v>
      </c>
      <c r="AK38" s="350">
        <f t="shared" si="77"/>
        <v>0</v>
      </c>
      <c r="AL38" s="350">
        <f t="shared" si="78"/>
        <v>27437.925454000004</v>
      </c>
      <c r="AO38" s="310"/>
    </row>
    <row r="39" spans="1:45" s="135" customFormat="1" ht="40.5" customHeight="1" x14ac:dyDescent="0.2">
      <c r="A39" s="202" t="s">
        <v>184</v>
      </c>
      <c r="B39" s="384" t="s">
        <v>185</v>
      </c>
      <c r="C39" s="131"/>
      <c r="D39" s="131"/>
      <c r="E39" s="131" t="s">
        <v>216</v>
      </c>
      <c r="F39" s="344">
        <v>30649</v>
      </c>
      <c r="G39" s="345">
        <v>44243</v>
      </c>
      <c r="H39" s="348" t="s">
        <v>71</v>
      </c>
      <c r="I39" s="83"/>
      <c r="J39" s="131" t="s">
        <v>186</v>
      </c>
      <c r="K39" s="132">
        <v>44258</v>
      </c>
      <c r="L39" s="137" t="s">
        <v>71</v>
      </c>
      <c r="M39" s="83"/>
      <c r="N39" s="131">
        <v>2023</v>
      </c>
      <c r="O39" s="131">
        <v>2032</v>
      </c>
      <c r="P39" s="131"/>
      <c r="Q39" s="347"/>
      <c r="R39" s="133" t="s">
        <v>197</v>
      </c>
      <c r="S39" s="83"/>
      <c r="T39" s="83"/>
      <c r="U39" s="83">
        <f>1490200+9519</f>
        <v>1499719</v>
      </c>
      <c r="V39" s="83"/>
      <c r="W39" s="346">
        <f t="shared" si="64"/>
        <v>33743.677499999998</v>
      </c>
      <c r="X39" s="346">
        <f t="shared" si="64"/>
        <v>19074.925961000001</v>
      </c>
      <c r="Y39" s="346">
        <f t="shared" si="64"/>
        <v>14478.287226</v>
      </c>
      <c r="Z39" s="346">
        <f t="shared" ref="Z39" si="80">+W39+X39+Y39</f>
        <v>67296.890687000006</v>
      </c>
      <c r="AA39" s="83"/>
      <c r="AB39" s="134">
        <v>0</v>
      </c>
      <c r="AC39" s="342">
        <v>0</v>
      </c>
      <c r="AD39" s="134">
        <f t="shared" si="66"/>
        <v>14478.287226</v>
      </c>
      <c r="AE39" s="134"/>
      <c r="AF39" s="342">
        <f t="shared" si="79"/>
        <v>14478.287226</v>
      </c>
      <c r="AG39" s="83"/>
      <c r="AH39" s="343">
        <f t="shared" si="74"/>
        <v>33743.677499999998</v>
      </c>
      <c r="AI39" s="341"/>
      <c r="AJ39" s="341">
        <f t="shared" si="76"/>
        <v>0</v>
      </c>
      <c r="AK39" s="341"/>
      <c r="AL39" s="341">
        <f t="shared" si="78"/>
        <v>52818.603461000006</v>
      </c>
      <c r="AO39" s="310"/>
    </row>
    <row r="40" spans="1:45" s="43" customFormat="1" ht="42.6" customHeight="1" x14ac:dyDescent="0.2">
      <c r="A40" s="315" t="s">
        <v>100</v>
      </c>
      <c r="B40" s="126" t="s">
        <v>101</v>
      </c>
      <c r="C40" s="316"/>
      <c r="D40" s="316"/>
      <c r="E40" s="131"/>
      <c r="F40" s="46">
        <v>28815</v>
      </c>
      <c r="G40" s="48">
        <v>42661</v>
      </c>
      <c r="H40" s="87" t="s">
        <v>71</v>
      </c>
      <c r="I40" s="50"/>
      <c r="J40" s="46" t="s">
        <v>102</v>
      </c>
      <c r="K40" s="48">
        <v>42676</v>
      </c>
      <c r="L40" s="137" t="s">
        <v>71</v>
      </c>
      <c r="M40" s="50"/>
      <c r="N40" s="51">
        <v>2019</v>
      </c>
      <c r="O40" s="51">
        <v>2033</v>
      </c>
      <c r="P40" s="136"/>
      <c r="Q40" s="52"/>
      <c r="R40" s="133" t="s">
        <v>103</v>
      </c>
      <c r="S40" s="50"/>
      <c r="T40" s="54"/>
      <c r="U40" s="387">
        <f>8121000+27541</f>
        <v>8148541</v>
      </c>
      <c r="V40" s="50"/>
      <c r="W40" s="55">
        <f t="shared" si="64"/>
        <v>183342.17249999999</v>
      </c>
      <c r="X40" s="55">
        <f t="shared" si="64"/>
        <v>103641.29297900001</v>
      </c>
      <c r="Y40" s="55">
        <f t="shared" si="64"/>
        <v>78666.014813999995</v>
      </c>
      <c r="Z40" s="55">
        <f>+W40+X40+Y40</f>
        <v>365649.480293</v>
      </c>
      <c r="AA40" s="50"/>
      <c r="AB40" s="56">
        <v>0</v>
      </c>
      <c r="AC40" s="56">
        <v>0</v>
      </c>
      <c r="AD40" s="56">
        <f t="shared" si="66"/>
        <v>78666.014813999995</v>
      </c>
      <c r="AE40" s="57"/>
      <c r="AF40" s="57">
        <f>+AB40+AC40+AD40+AE40</f>
        <v>78666.014813999995</v>
      </c>
      <c r="AG40" s="240"/>
      <c r="AH40" s="58">
        <f t="shared" ref="AH40:AJ41" si="81">+W40-AB40</f>
        <v>183342.17249999999</v>
      </c>
      <c r="AI40" s="59">
        <f t="shared" si="81"/>
        <v>103641.29297900001</v>
      </c>
      <c r="AJ40" s="59">
        <f t="shared" si="81"/>
        <v>0</v>
      </c>
      <c r="AK40" s="59">
        <f>-AE40</f>
        <v>0</v>
      </c>
      <c r="AL40" s="59">
        <f>+Z40-AF40</f>
        <v>286983.46547900001</v>
      </c>
      <c r="AO40" s="305"/>
    </row>
    <row r="41" spans="1:45" s="43" customFormat="1" ht="48.6" customHeight="1" x14ac:dyDescent="0.2">
      <c r="A41" s="44" t="s">
        <v>81</v>
      </c>
      <c r="B41" s="45" t="s">
        <v>107</v>
      </c>
      <c r="C41" s="46"/>
      <c r="D41" s="46"/>
      <c r="E41" s="47" t="s">
        <v>147</v>
      </c>
      <c r="F41" s="46">
        <v>28233</v>
      </c>
      <c r="G41" s="48">
        <v>42129</v>
      </c>
      <c r="H41" s="87" t="s">
        <v>71</v>
      </c>
      <c r="I41" s="50"/>
      <c r="J41" s="46" t="s">
        <v>75</v>
      </c>
      <c r="K41" s="48">
        <v>42130</v>
      </c>
      <c r="L41" s="137" t="s">
        <v>71</v>
      </c>
      <c r="M41" s="50"/>
      <c r="N41" s="51">
        <v>2016</v>
      </c>
      <c r="O41" s="51">
        <v>2034</v>
      </c>
      <c r="P41" s="136"/>
      <c r="Q41" s="52"/>
      <c r="R41" s="133" t="s">
        <v>84</v>
      </c>
      <c r="S41" s="50"/>
      <c r="T41" s="54"/>
      <c r="U41" s="387">
        <f>4799880+10901</f>
        <v>4810781</v>
      </c>
      <c r="V41" s="50"/>
      <c r="W41" s="55">
        <f t="shared" si="64"/>
        <v>108242.57249999999</v>
      </c>
      <c r="X41" s="55">
        <f t="shared" si="64"/>
        <v>61188.323539000005</v>
      </c>
      <c r="Y41" s="55">
        <f t="shared" si="64"/>
        <v>46443.279774000002</v>
      </c>
      <c r="Z41" s="55">
        <f>+W41+X41+Y41</f>
        <v>215874.17581300001</v>
      </c>
      <c r="AA41" s="50"/>
      <c r="AB41" s="56">
        <v>0</v>
      </c>
      <c r="AC41" s="56">
        <v>0</v>
      </c>
      <c r="AD41" s="56">
        <f t="shared" si="66"/>
        <v>46443.279774000002</v>
      </c>
      <c r="AE41" s="57"/>
      <c r="AF41" s="57">
        <f>+AB41+AC41+AD41+AE41</f>
        <v>46443.279774000002</v>
      </c>
      <c r="AG41" s="240"/>
      <c r="AH41" s="58">
        <f t="shared" si="81"/>
        <v>108242.57249999999</v>
      </c>
      <c r="AI41" s="59">
        <f t="shared" si="81"/>
        <v>61188.323539000005</v>
      </c>
      <c r="AJ41" s="59">
        <f t="shared" si="81"/>
        <v>0</v>
      </c>
      <c r="AK41" s="59">
        <f>-AE41</f>
        <v>0</v>
      </c>
      <c r="AL41" s="59">
        <f>+Z41-AF41</f>
        <v>169430.89603900001</v>
      </c>
      <c r="AO41" s="305"/>
    </row>
    <row r="42" spans="1:45" s="43" customFormat="1" ht="25.5" customHeight="1" x14ac:dyDescent="0.2">
      <c r="A42" s="315" t="s">
        <v>157</v>
      </c>
      <c r="B42" s="126" t="s">
        <v>159</v>
      </c>
      <c r="C42" s="316"/>
      <c r="D42" s="316"/>
      <c r="E42" s="131" t="s">
        <v>207</v>
      </c>
      <c r="F42" s="238">
        <v>29744</v>
      </c>
      <c r="G42" s="239">
        <v>43452</v>
      </c>
      <c r="H42" s="233" t="s">
        <v>71</v>
      </c>
      <c r="I42" s="237"/>
      <c r="J42" s="238" t="s">
        <v>158</v>
      </c>
      <c r="K42" s="239">
        <v>43481</v>
      </c>
      <c r="L42" s="137" t="s">
        <v>71</v>
      </c>
      <c r="M42" s="237"/>
      <c r="N42" s="234">
        <v>2020</v>
      </c>
      <c r="O42" s="234">
        <v>2044</v>
      </c>
      <c r="P42" s="136"/>
      <c r="Q42" s="235"/>
      <c r="R42" s="53"/>
      <c r="S42" s="237"/>
      <c r="T42" s="236"/>
      <c r="U42" s="387">
        <f>2385320+8992</f>
        <v>2394312</v>
      </c>
      <c r="V42" s="237"/>
      <c r="W42" s="276">
        <f t="shared" si="64"/>
        <v>53872.02</v>
      </c>
      <c r="X42" s="276">
        <f t="shared" si="64"/>
        <v>30453.254327999999</v>
      </c>
      <c r="Y42" s="276">
        <f t="shared" si="64"/>
        <v>23114.688048</v>
      </c>
      <c r="Z42" s="276">
        <f t="shared" ref="Z42" si="82">+W42+X42+Y42</f>
        <v>107439.962376</v>
      </c>
      <c r="AA42" s="280"/>
      <c r="AB42" s="281">
        <v>0</v>
      </c>
      <c r="AC42" s="278">
        <v>0</v>
      </c>
      <c r="AD42" s="278">
        <f t="shared" si="66"/>
        <v>23114.688048</v>
      </c>
      <c r="AE42" s="278"/>
      <c r="AF42" s="278">
        <f t="shared" ref="AF42" si="83">+AB42+AC42+AD42+AE42</f>
        <v>23114.688048</v>
      </c>
      <c r="AG42" s="280"/>
      <c r="AH42" s="279">
        <f t="shared" ref="AH42" si="84">+W42-AB42</f>
        <v>53872.02</v>
      </c>
      <c r="AI42" s="277">
        <f t="shared" ref="AI42" si="85">+X42-AC42</f>
        <v>30453.254327999999</v>
      </c>
      <c r="AJ42" s="277">
        <f t="shared" ref="AJ42" si="86">+Y42-AD42</f>
        <v>0</v>
      </c>
      <c r="AK42" s="277">
        <f t="shared" ref="AK42" si="87">-AE42</f>
        <v>0</v>
      </c>
      <c r="AL42" s="277">
        <f t="shared" ref="AL42" si="88">+Z42-AF42</f>
        <v>84325.274328</v>
      </c>
      <c r="AO42" s="305"/>
    </row>
    <row r="43" spans="1:45" s="43" customFormat="1" ht="25.5" customHeight="1" x14ac:dyDescent="0.2">
      <c r="A43" s="363" t="s">
        <v>193</v>
      </c>
      <c r="B43" s="364" t="s">
        <v>195</v>
      </c>
      <c r="C43" s="335"/>
      <c r="D43" s="335"/>
      <c r="E43" s="362"/>
      <c r="F43" s="353">
        <v>30660</v>
      </c>
      <c r="G43" s="354">
        <v>44250</v>
      </c>
      <c r="H43" s="361" t="s">
        <v>71</v>
      </c>
      <c r="I43" s="359"/>
      <c r="J43" s="353" t="s">
        <v>194</v>
      </c>
      <c r="K43" s="354">
        <v>44307</v>
      </c>
      <c r="L43" s="137" t="s">
        <v>71</v>
      </c>
      <c r="M43" s="359"/>
      <c r="N43" s="356">
        <v>2024</v>
      </c>
      <c r="O43" s="356">
        <v>2040</v>
      </c>
      <c r="P43" s="136"/>
      <c r="Q43" s="357"/>
      <c r="R43" s="53" t="s">
        <v>196</v>
      </c>
      <c r="S43" s="359"/>
      <c r="T43" s="358"/>
      <c r="U43" s="387"/>
      <c r="V43" s="359"/>
      <c r="W43" s="355"/>
      <c r="X43" s="355"/>
      <c r="Y43" s="355"/>
      <c r="Z43" s="355"/>
      <c r="AA43" s="359"/>
      <c r="AB43" s="360"/>
      <c r="AC43" s="351"/>
      <c r="AD43" s="351"/>
      <c r="AE43" s="351"/>
      <c r="AF43" s="351"/>
      <c r="AG43" s="359"/>
      <c r="AH43" s="352"/>
      <c r="AI43" s="350"/>
      <c r="AJ43" s="350"/>
      <c r="AK43" s="350"/>
      <c r="AL43" s="350"/>
      <c r="AO43" s="349"/>
    </row>
    <row r="44" spans="1:45" s="43" customFormat="1" ht="51.75" customHeight="1" x14ac:dyDescent="0.2">
      <c r="A44" s="274" t="s">
        <v>142</v>
      </c>
      <c r="B44" s="126" t="s">
        <v>144</v>
      </c>
      <c r="C44" s="272"/>
      <c r="D44" s="272"/>
      <c r="E44" s="131" t="s">
        <v>171</v>
      </c>
      <c r="F44" s="197">
        <v>29634</v>
      </c>
      <c r="G44" s="198">
        <v>43368</v>
      </c>
      <c r="H44" s="200" t="s">
        <v>71</v>
      </c>
      <c r="I44" s="195"/>
      <c r="J44" s="197" t="s">
        <v>143</v>
      </c>
      <c r="K44" s="198">
        <v>43376</v>
      </c>
      <c r="L44" s="137" t="s">
        <v>71</v>
      </c>
      <c r="M44" s="195"/>
      <c r="N44" s="192">
        <v>2019</v>
      </c>
      <c r="O44" s="192">
        <v>2033</v>
      </c>
      <c r="P44" s="136"/>
      <c r="Q44" s="193"/>
      <c r="R44" s="53" t="s">
        <v>145</v>
      </c>
      <c r="S44" s="195"/>
      <c r="T44" s="194"/>
      <c r="U44" s="387">
        <f>2069440+26764</f>
        <v>2096204</v>
      </c>
      <c r="V44" s="195"/>
      <c r="W44" s="268">
        <f t="shared" si="64"/>
        <v>47164.59</v>
      </c>
      <c r="X44" s="268">
        <f t="shared" si="64"/>
        <v>26661.618675999998</v>
      </c>
      <c r="Y44" s="268">
        <f t="shared" si="64"/>
        <v>20236.753416000003</v>
      </c>
      <c r="Z44" s="268">
        <f t="shared" ref="Z44" si="89">+W44+X44+Y44</f>
        <v>94062.962092000002</v>
      </c>
      <c r="AA44" s="195"/>
      <c r="AB44" s="196"/>
      <c r="AC44" s="84">
        <v>0</v>
      </c>
      <c r="AD44" s="84">
        <f>Y44</f>
        <v>20236.753416000003</v>
      </c>
      <c r="AE44" s="199"/>
      <c r="AF44" s="270">
        <f t="shared" si="67"/>
        <v>20236.753416000003</v>
      </c>
      <c r="AG44" s="240"/>
      <c r="AH44" s="271">
        <f t="shared" ref="AH44" si="90">+W44-AB44</f>
        <v>47164.59</v>
      </c>
      <c r="AI44" s="269">
        <f t="shared" ref="AI44" si="91">+X44-AC44</f>
        <v>26661.618675999998</v>
      </c>
      <c r="AJ44" s="269">
        <f t="shared" ref="AJ44" si="92">+Y44-AD44</f>
        <v>0</v>
      </c>
      <c r="AK44" s="269">
        <f t="shared" ref="AK44" si="93">-AE44</f>
        <v>0</v>
      </c>
      <c r="AL44" s="269">
        <f t="shared" ref="AL44" si="94">+Z44-AF44</f>
        <v>73826.208675999995</v>
      </c>
      <c r="AO44" s="305"/>
    </row>
    <row r="45" spans="1:45" s="43" customFormat="1" ht="25.5" hidden="1" customHeight="1" x14ac:dyDescent="0.2">
      <c r="A45" s="213" t="s">
        <v>109</v>
      </c>
      <c r="B45" s="126" t="s">
        <v>164</v>
      </c>
      <c r="C45" s="214"/>
      <c r="D45" s="214"/>
      <c r="E45" s="131"/>
      <c r="F45" s="46">
        <v>28852</v>
      </c>
      <c r="G45" s="48">
        <v>42710</v>
      </c>
      <c r="H45" s="87" t="s">
        <v>71</v>
      </c>
      <c r="I45" s="50"/>
      <c r="J45" s="46" t="s">
        <v>108</v>
      </c>
      <c r="K45" s="48">
        <v>42725</v>
      </c>
      <c r="L45" s="137" t="s">
        <v>71</v>
      </c>
      <c r="M45" s="50"/>
      <c r="N45" s="51">
        <v>2017</v>
      </c>
      <c r="O45" s="51">
        <v>2037</v>
      </c>
      <c r="P45" s="136"/>
      <c r="Q45" s="52"/>
      <c r="R45" s="138" t="s">
        <v>112</v>
      </c>
      <c r="S45" s="50"/>
      <c r="T45" s="54"/>
      <c r="U45" s="285"/>
      <c r="V45" s="50"/>
      <c r="W45" s="55"/>
      <c r="X45" s="55"/>
      <c r="Y45" s="55"/>
      <c r="Z45" s="55"/>
      <c r="AA45" s="50"/>
      <c r="AB45" s="56"/>
      <c r="AC45" s="84"/>
      <c r="AD45" s="84"/>
      <c r="AE45" s="57"/>
      <c r="AF45" s="57"/>
      <c r="AG45" s="240"/>
      <c r="AH45" s="58"/>
      <c r="AI45" s="59"/>
      <c r="AJ45" s="59"/>
      <c r="AK45" s="59"/>
      <c r="AL45" s="59"/>
      <c r="AO45" s="305"/>
    </row>
    <row r="46" spans="1:45" s="43" customFormat="1" ht="65.25" customHeight="1" x14ac:dyDescent="0.2">
      <c r="A46" s="170" t="s">
        <v>122</v>
      </c>
      <c r="B46" s="171" t="s">
        <v>123</v>
      </c>
      <c r="C46" s="152"/>
      <c r="D46" s="152"/>
      <c r="E46" s="172" t="s">
        <v>126</v>
      </c>
      <c r="F46" s="148">
        <v>28336</v>
      </c>
      <c r="G46" s="150">
        <v>42206</v>
      </c>
      <c r="H46" s="68" t="s">
        <v>71</v>
      </c>
      <c r="I46" s="151"/>
      <c r="J46" s="148" t="s">
        <v>124</v>
      </c>
      <c r="K46" s="150">
        <v>42221</v>
      </c>
      <c r="L46" s="72" t="s">
        <v>71</v>
      </c>
      <c r="M46" s="151"/>
      <c r="N46" s="152">
        <v>2017</v>
      </c>
      <c r="O46" s="152">
        <v>2031</v>
      </c>
      <c r="P46" s="153"/>
      <c r="Q46" s="154"/>
      <c r="R46" s="155" t="s">
        <v>215</v>
      </c>
      <c r="S46" s="151"/>
      <c r="T46" s="156"/>
      <c r="U46" s="151">
        <f>7665120+29525</f>
        <v>7694645</v>
      </c>
      <c r="V46" s="151"/>
      <c r="W46" s="165">
        <f t="shared" si="64"/>
        <v>173129.51250000001</v>
      </c>
      <c r="X46" s="165">
        <f t="shared" si="64"/>
        <v>97868.189754999999</v>
      </c>
      <c r="Y46" s="165">
        <f t="shared" si="64"/>
        <v>74284.102830000003</v>
      </c>
      <c r="Z46" s="165">
        <f t="shared" ref="Z46" si="95">+W46+X46+Y46</f>
        <v>345281.805085</v>
      </c>
      <c r="AA46" s="151"/>
      <c r="AB46" s="157">
        <v>0</v>
      </c>
      <c r="AC46" s="158">
        <v>0</v>
      </c>
      <c r="AD46" s="158">
        <f>Y46</f>
        <v>74284.102830000003</v>
      </c>
      <c r="AE46" s="159"/>
      <c r="AF46" s="166">
        <f t="shared" si="67"/>
        <v>74284.102830000003</v>
      </c>
      <c r="AG46" s="151"/>
      <c r="AH46" s="168">
        <f t="shared" ref="AH46" si="96">+W46-AB46</f>
        <v>173129.51250000001</v>
      </c>
      <c r="AI46" s="167">
        <f t="shared" ref="AI46" si="97">+X46-AC46</f>
        <v>97868.189754999999</v>
      </c>
      <c r="AJ46" s="167">
        <f t="shared" ref="AJ46" si="98">+Y46-AD46</f>
        <v>0</v>
      </c>
      <c r="AK46" s="167">
        <f t="shared" ref="AK46" si="99">-AE46</f>
        <v>0</v>
      </c>
      <c r="AL46" s="167">
        <f t="shared" ref="AL46" si="100">+Z46-AF46</f>
        <v>270997.70225500001</v>
      </c>
      <c r="AM46" s="149"/>
      <c r="AO46" s="311"/>
    </row>
    <row r="47" spans="1:45" s="43" customFormat="1" ht="42.6" customHeight="1" x14ac:dyDescent="0.2">
      <c r="A47" s="123" t="s">
        <v>79</v>
      </c>
      <c r="B47" s="104" t="s">
        <v>80</v>
      </c>
      <c r="C47" s="105"/>
      <c r="D47" s="106"/>
      <c r="E47" s="107" t="s">
        <v>105</v>
      </c>
      <c r="F47" s="106">
        <v>28139</v>
      </c>
      <c r="G47" s="107">
        <v>42045</v>
      </c>
      <c r="H47" s="124" t="s">
        <v>71</v>
      </c>
      <c r="I47" s="104"/>
      <c r="J47" s="106" t="s">
        <v>74</v>
      </c>
      <c r="K47" s="107">
        <v>42053</v>
      </c>
      <c r="L47" s="137" t="s">
        <v>71</v>
      </c>
      <c r="M47" s="113"/>
      <c r="N47" s="111">
        <v>2016</v>
      </c>
      <c r="O47" s="111">
        <v>2030</v>
      </c>
      <c r="P47" s="53"/>
      <c r="Q47" s="113"/>
      <c r="R47" s="133" t="s">
        <v>85</v>
      </c>
      <c r="S47" s="113"/>
      <c r="T47" s="113"/>
      <c r="U47" s="387">
        <f>2665960+11038</f>
        <v>2676998</v>
      </c>
      <c r="V47" s="113"/>
      <c r="W47" s="114">
        <f t="shared" si="64"/>
        <v>60232.455000000002</v>
      </c>
      <c r="X47" s="114">
        <f t="shared" si="64"/>
        <v>34048.737562000002</v>
      </c>
      <c r="Y47" s="114">
        <f t="shared" si="64"/>
        <v>25843.738691999999</v>
      </c>
      <c r="Z47" s="114">
        <f>+W47+X47+Y47</f>
        <v>120124.93125400001</v>
      </c>
      <c r="AA47" s="113"/>
      <c r="AB47" s="115">
        <v>0</v>
      </c>
      <c r="AC47" s="84">
        <v>0</v>
      </c>
      <c r="AD47" s="84">
        <f>Y47</f>
        <v>25843.738691999999</v>
      </c>
      <c r="AE47" s="116"/>
      <c r="AF47" s="116">
        <f t="shared" si="67"/>
        <v>25843.738691999999</v>
      </c>
      <c r="AG47" s="240"/>
      <c r="AH47" s="117">
        <f>+W47-AB47</f>
        <v>60232.455000000002</v>
      </c>
      <c r="AI47" s="118">
        <f>+X47-AC47</f>
        <v>34048.737562000002</v>
      </c>
      <c r="AJ47" s="118">
        <f>+Y47-AD47</f>
        <v>0</v>
      </c>
      <c r="AK47" s="118">
        <f>-AE47</f>
        <v>0</v>
      </c>
      <c r="AL47" s="118">
        <f>+Z47-AF47</f>
        <v>94281.192562000011</v>
      </c>
      <c r="AM47" s="64"/>
      <c r="AN47" s="64"/>
      <c r="AO47" s="305"/>
      <c r="AP47" s="64"/>
      <c r="AQ47" s="64"/>
      <c r="AR47" s="64"/>
      <c r="AS47" s="64"/>
    </row>
    <row r="48" spans="1:45" s="43" customFormat="1" ht="25.5" customHeight="1" x14ac:dyDescent="0.2">
      <c r="A48" s="44" t="s">
        <v>26</v>
      </c>
      <c r="B48" s="45" t="s">
        <v>27</v>
      </c>
      <c r="C48" s="46">
        <v>35.043092999999999</v>
      </c>
      <c r="D48" s="46">
        <v>-85.2932019</v>
      </c>
      <c r="E48" s="47" t="s">
        <v>96</v>
      </c>
      <c r="F48" s="46">
        <v>27337</v>
      </c>
      <c r="G48" s="48">
        <v>41247</v>
      </c>
      <c r="H48" s="49" t="s">
        <v>71</v>
      </c>
      <c r="I48" s="50"/>
      <c r="J48" s="46" t="s">
        <v>55</v>
      </c>
      <c r="K48" s="48">
        <v>41262</v>
      </c>
      <c r="L48" s="139" t="s">
        <v>71</v>
      </c>
      <c r="M48" s="50"/>
      <c r="N48" s="51">
        <v>2013</v>
      </c>
      <c r="O48" s="51">
        <v>2024</v>
      </c>
      <c r="P48" s="136"/>
      <c r="Q48" s="52"/>
      <c r="R48" s="53"/>
      <c r="S48" s="50"/>
      <c r="T48" s="54"/>
      <c r="U48" s="387">
        <f>841400+3246</f>
        <v>844646</v>
      </c>
      <c r="V48" s="50"/>
      <c r="W48" s="55">
        <f t="shared" si="64"/>
        <v>19004.535</v>
      </c>
      <c r="X48" s="55">
        <f t="shared" si="64"/>
        <v>10743.052474</v>
      </c>
      <c r="Y48" s="55">
        <f t="shared" si="64"/>
        <v>8154.2124840000006</v>
      </c>
      <c r="Z48" s="55">
        <f t="shared" ref="Z48:Z50" si="101">+W48+X48+Y48</f>
        <v>37901.799958000003</v>
      </c>
      <c r="AA48" s="50"/>
      <c r="AB48" s="56">
        <v>5790.05</v>
      </c>
      <c r="AC48" s="57">
        <f>6142.63*X1/(X1+Y1)</f>
        <v>3492.0712899477048</v>
      </c>
      <c r="AD48" s="57">
        <f>5472.31+31.33+6142.63*Y1/(X1+Y1)</f>
        <v>8154.1987100522947</v>
      </c>
      <c r="AE48" s="57"/>
      <c r="AF48" s="57">
        <f t="shared" si="67"/>
        <v>17436.32</v>
      </c>
      <c r="AG48" s="240"/>
      <c r="AH48" s="58">
        <f t="shared" ref="AH48:AJ50" si="102">+W48-AB48</f>
        <v>13214.485000000001</v>
      </c>
      <c r="AI48" s="59">
        <f t="shared" si="102"/>
        <v>7250.9811840522952</v>
      </c>
      <c r="AJ48" s="59">
        <f>ROUND(+Y48-AD48,0)</f>
        <v>0</v>
      </c>
      <c r="AK48" s="59">
        <f t="shared" ref="AK48:AK50" si="103">-AE48</f>
        <v>0</v>
      </c>
      <c r="AL48" s="59">
        <f t="shared" ref="AL48:AL50" si="104">+Z48-AF48</f>
        <v>20465.479958000004</v>
      </c>
      <c r="AO48" s="305"/>
    </row>
    <row r="49" spans="1:42" s="43" customFormat="1" ht="25.5" customHeight="1" x14ac:dyDescent="0.2">
      <c r="A49" s="44" t="s">
        <v>24</v>
      </c>
      <c r="B49" s="45" t="s">
        <v>25</v>
      </c>
      <c r="C49" s="86"/>
      <c r="D49" s="86"/>
      <c r="E49" s="47" t="s">
        <v>95</v>
      </c>
      <c r="F49" s="46">
        <v>27336</v>
      </c>
      <c r="G49" s="48">
        <v>41247</v>
      </c>
      <c r="H49" s="49" t="s">
        <v>71</v>
      </c>
      <c r="I49" s="50"/>
      <c r="J49" s="46" t="s">
        <v>54</v>
      </c>
      <c r="K49" s="48">
        <v>41262</v>
      </c>
      <c r="L49" s="139" t="s">
        <v>71</v>
      </c>
      <c r="M49" s="50"/>
      <c r="N49" s="51">
        <v>2013</v>
      </c>
      <c r="O49" s="51">
        <v>2024</v>
      </c>
      <c r="P49" s="136"/>
      <c r="Q49" s="52"/>
      <c r="R49" s="53"/>
      <c r="S49" s="50"/>
      <c r="T49" s="54"/>
      <c r="U49" s="387">
        <f>172560+817360+2871</f>
        <v>992791</v>
      </c>
      <c r="V49" s="50"/>
      <c r="W49" s="55">
        <f t="shared" si="64"/>
        <v>22337.797500000001</v>
      </c>
      <c r="X49" s="55">
        <f t="shared" si="64"/>
        <v>12627.308729</v>
      </c>
      <c r="Y49" s="55">
        <f t="shared" si="64"/>
        <v>9584.4043139999994</v>
      </c>
      <c r="Z49" s="55">
        <f t="shared" si="101"/>
        <v>44549.510542999997</v>
      </c>
      <c r="AA49" s="50"/>
      <c r="AB49" s="56">
        <f>593.87+9553.72</f>
        <v>10147.59</v>
      </c>
      <c r="AC49" s="57">
        <f>(630.03+10135.5)*X1/(X1+Y1)</f>
        <v>6120.1795052071693</v>
      </c>
      <c r="AD49" s="57">
        <f>1394.03+3517.3+27.71+(630.03+10135.5)*Y1/(X1+Y1)</f>
        <v>9584.3904947928313</v>
      </c>
      <c r="AE49" s="57"/>
      <c r="AF49" s="57">
        <f t="shared" si="67"/>
        <v>25852.16</v>
      </c>
      <c r="AG49" s="240"/>
      <c r="AH49" s="58">
        <f t="shared" si="102"/>
        <v>12190.2075</v>
      </c>
      <c r="AI49" s="59">
        <f t="shared" si="102"/>
        <v>6507.129223792831</v>
      </c>
      <c r="AJ49" s="160">
        <f>ROUND(+Y49-AD49,0)</f>
        <v>0</v>
      </c>
      <c r="AK49" s="59">
        <f t="shared" si="103"/>
        <v>0</v>
      </c>
      <c r="AL49" s="59">
        <f t="shared" si="104"/>
        <v>18697.350542999997</v>
      </c>
      <c r="AO49" s="305"/>
    </row>
    <row r="50" spans="1:42" s="43" customFormat="1" ht="26.25" customHeight="1" x14ac:dyDescent="0.2">
      <c r="A50" s="44" t="s">
        <v>28</v>
      </c>
      <c r="B50" s="45" t="s">
        <v>29</v>
      </c>
      <c r="C50" s="46">
        <v>35.054606679999999</v>
      </c>
      <c r="D50" s="46">
        <v>-85.307281329999995</v>
      </c>
      <c r="E50" s="47" t="s">
        <v>106</v>
      </c>
      <c r="F50" s="46">
        <v>23253</v>
      </c>
      <c r="G50" s="48">
        <v>40513</v>
      </c>
      <c r="H50" s="49" t="s">
        <v>71</v>
      </c>
      <c r="I50" s="50"/>
      <c r="J50" s="46" t="s">
        <v>47</v>
      </c>
      <c r="K50" s="48">
        <v>37349</v>
      </c>
      <c r="L50" s="139" t="s">
        <v>71</v>
      </c>
      <c r="M50" s="50"/>
      <c r="N50" s="51">
        <v>2012</v>
      </c>
      <c r="O50" s="51">
        <v>2025</v>
      </c>
      <c r="P50" s="136"/>
      <c r="Q50" s="52"/>
      <c r="R50" s="53"/>
      <c r="S50" s="50"/>
      <c r="T50" s="54"/>
      <c r="U50" s="387">
        <v>5316680</v>
      </c>
      <c r="V50" s="50"/>
      <c r="W50" s="55">
        <f t="shared" si="64"/>
        <v>119625.3</v>
      </c>
      <c r="X50" s="55">
        <f t="shared" si="64"/>
        <v>67622.852920000005</v>
      </c>
      <c r="Y50" s="55">
        <f t="shared" si="64"/>
        <v>51327.228720000006</v>
      </c>
      <c r="Z50" s="55">
        <f t="shared" si="101"/>
        <v>238575.38164000004</v>
      </c>
      <c r="AA50" s="50"/>
      <c r="AB50" s="134">
        <f>W50*0.4</f>
        <v>47850.12</v>
      </c>
      <c r="AC50" s="134">
        <f>X50*0.4</f>
        <v>27049.141168000002</v>
      </c>
      <c r="AD50" s="134">
        <f>Y50*0.4</f>
        <v>20530.891488000005</v>
      </c>
      <c r="AE50" s="57"/>
      <c r="AF50" s="57">
        <f t="shared" si="67"/>
        <v>95430.152656000006</v>
      </c>
      <c r="AG50" s="240"/>
      <c r="AH50" s="58">
        <f t="shared" si="102"/>
        <v>71775.179999999993</v>
      </c>
      <c r="AI50" s="59">
        <f t="shared" si="102"/>
        <v>40573.711752000003</v>
      </c>
      <c r="AJ50" s="59">
        <f t="shared" si="102"/>
        <v>30796.337232000002</v>
      </c>
      <c r="AK50" s="59">
        <f t="shared" si="103"/>
        <v>0</v>
      </c>
      <c r="AL50" s="59">
        <f t="shared" si="104"/>
        <v>143145.22898400004</v>
      </c>
      <c r="AO50" s="305"/>
    </row>
    <row r="51" spans="1:42" s="43" customFormat="1" ht="26.25" customHeight="1" x14ac:dyDescent="0.2">
      <c r="A51" s="94" t="s">
        <v>114</v>
      </c>
      <c r="B51" s="45"/>
      <c r="C51" s="46"/>
      <c r="D51" s="46"/>
      <c r="E51" s="47"/>
      <c r="F51" s="46"/>
      <c r="G51" s="48"/>
      <c r="H51" s="49"/>
      <c r="I51" s="50"/>
      <c r="J51" s="46"/>
      <c r="K51" s="48"/>
      <c r="L51" s="139"/>
      <c r="M51" s="50"/>
      <c r="N51" s="51"/>
      <c r="O51" s="51"/>
      <c r="P51" s="136"/>
      <c r="Q51" s="52"/>
      <c r="R51" s="53"/>
      <c r="S51" s="50"/>
      <c r="T51" s="54"/>
      <c r="U51" s="387"/>
      <c r="V51" s="50"/>
      <c r="W51" s="55"/>
      <c r="X51" s="55"/>
      <c r="Y51" s="55"/>
      <c r="Z51" s="55"/>
      <c r="AA51" s="50"/>
      <c r="AB51" s="56"/>
      <c r="AC51" s="57"/>
      <c r="AD51" s="57"/>
      <c r="AE51" s="57"/>
      <c r="AF51" s="57"/>
      <c r="AG51" s="240"/>
      <c r="AH51" s="58"/>
      <c r="AI51" s="59"/>
      <c r="AJ51" s="59"/>
      <c r="AK51" s="59"/>
      <c r="AL51" s="59"/>
      <c r="AO51" s="305"/>
    </row>
    <row r="52" spans="1:42" s="43" customFormat="1" ht="36" x14ac:dyDescent="0.2">
      <c r="A52" s="232" t="s">
        <v>152</v>
      </c>
      <c r="B52" s="126" t="s">
        <v>111</v>
      </c>
      <c r="C52" s="227"/>
      <c r="D52" s="227"/>
      <c r="E52" s="131" t="s">
        <v>154</v>
      </c>
      <c r="F52" s="46">
        <v>28835</v>
      </c>
      <c r="G52" s="48">
        <v>42682</v>
      </c>
      <c r="H52" s="87" t="s">
        <v>71</v>
      </c>
      <c r="I52" s="50"/>
      <c r="J52" s="51" t="s">
        <v>110</v>
      </c>
      <c r="K52" s="140">
        <v>42711</v>
      </c>
      <c r="L52" s="141" t="s">
        <v>71</v>
      </c>
      <c r="M52" s="50"/>
      <c r="N52" s="51">
        <v>2018</v>
      </c>
      <c r="O52" s="51">
        <v>2028</v>
      </c>
      <c r="P52" s="136"/>
      <c r="Q52" s="52"/>
      <c r="R52" s="138" t="s">
        <v>115</v>
      </c>
      <c r="S52" s="50"/>
      <c r="T52" s="54"/>
      <c r="U52" s="387">
        <f>2787720+10892</f>
        <v>2798612</v>
      </c>
      <c r="V52" s="50"/>
      <c r="W52" s="223">
        <f t="shared" si="64"/>
        <v>62968.77</v>
      </c>
      <c r="X52" s="223">
        <f t="shared" si="64"/>
        <v>35595.546027999997</v>
      </c>
      <c r="Y52" s="223">
        <f t="shared" si="64"/>
        <v>27017.800248000003</v>
      </c>
      <c r="Z52" s="223">
        <f t="shared" ref="Z52" si="105">+W52+X52+Y52</f>
        <v>125582.116276</v>
      </c>
      <c r="AA52" s="50"/>
      <c r="AB52" s="56"/>
      <c r="AC52" s="57"/>
      <c r="AD52" s="57">
        <v>51000</v>
      </c>
      <c r="AE52" s="57"/>
      <c r="AF52" s="230">
        <f t="shared" si="67"/>
        <v>51000</v>
      </c>
      <c r="AG52" s="240"/>
      <c r="AH52" s="231">
        <f t="shared" ref="AH52" si="106">+W52-AB52</f>
        <v>62968.77</v>
      </c>
      <c r="AI52" s="229">
        <f t="shared" ref="AI52" si="107">+X52-AC52</f>
        <v>35595.546027999997</v>
      </c>
      <c r="AJ52" s="229">
        <f t="shared" ref="AJ52" si="108">+Y52-AD52</f>
        <v>-23982.199751999997</v>
      </c>
      <c r="AK52" s="229">
        <f t="shared" ref="AK52" si="109">-AE52</f>
        <v>0</v>
      </c>
      <c r="AL52" s="229">
        <f t="shared" ref="AL52" si="110">+Z52-AF52</f>
        <v>74582.116276000001</v>
      </c>
      <c r="AO52" s="305"/>
    </row>
    <row r="53" spans="1:42" s="43" customFormat="1" ht="4.5" customHeight="1" x14ac:dyDescent="0.2">
      <c r="A53" s="63"/>
      <c r="B53" s="64"/>
      <c r="C53" s="65"/>
      <c r="D53" s="65"/>
      <c r="E53" s="66"/>
      <c r="F53" s="65"/>
      <c r="G53" s="67"/>
      <c r="H53" s="68"/>
      <c r="I53" s="69"/>
      <c r="J53" s="65"/>
      <c r="K53" s="67"/>
      <c r="L53" s="72"/>
      <c r="M53" s="69"/>
      <c r="N53" s="142"/>
      <c r="O53" s="142"/>
      <c r="P53" s="143"/>
      <c r="Q53" s="75"/>
      <c r="R53" s="144"/>
      <c r="S53" s="69"/>
      <c r="T53" s="145"/>
      <c r="U53" s="69"/>
      <c r="V53" s="69"/>
      <c r="W53" s="78"/>
      <c r="X53" s="78"/>
      <c r="Y53" s="78"/>
      <c r="Z53" s="78"/>
      <c r="AA53" s="69"/>
      <c r="AB53" s="80"/>
      <c r="AC53" s="146"/>
      <c r="AD53" s="146"/>
      <c r="AE53" s="146"/>
      <c r="AF53" s="146"/>
      <c r="AG53" s="69"/>
      <c r="AH53" s="81"/>
      <c r="AI53" s="147"/>
      <c r="AJ53" s="147"/>
      <c r="AK53" s="147"/>
      <c r="AL53" s="147"/>
      <c r="AO53" s="312"/>
    </row>
    <row r="54" spans="1:42" ht="25.5" customHeight="1" thickBot="1" x14ac:dyDescent="0.25">
      <c r="R54" s="31"/>
      <c r="W54" s="26">
        <f>SUM(W5:W52)</f>
        <v>19753071.579500001</v>
      </c>
      <c r="X54" s="26">
        <f>SUM(X5:X52)</f>
        <v>10745612.656071998</v>
      </c>
      <c r="Y54" s="26">
        <f>SUM(Y5:Y52)</f>
        <v>8156155.7274760017</v>
      </c>
      <c r="Z54" s="26">
        <f>SUM(Z5:Z52)</f>
        <v>38654839.963047996</v>
      </c>
      <c r="AB54" s="25">
        <f>SUM(AB5:AB52)</f>
        <v>4064573.6688775001</v>
      </c>
      <c r="AC54" s="25">
        <f>SUM(AC5:AC52)</f>
        <v>1905755.9397310957</v>
      </c>
      <c r="AD54" s="25">
        <f>SUM(AD5:AD52)</f>
        <v>6636116.868378846</v>
      </c>
      <c r="AE54" s="25">
        <f>SUM(AE5:AE52)</f>
        <v>807787.44842956169</v>
      </c>
      <c r="AF54" s="25">
        <f>SUM(AF5:AF52)</f>
        <v>13414233.92541701</v>
      </c>
      <c r="AH54" s="23">
        <f>SUM(AH5:AH52)</f>
        <v>15688497.9106225</v>
      </c>
      <c r="AI54" s="23">
        <f>SUM(AI5:AI52)</f>
        <v>8820781.7903799023</v>
      </c>
      <c r="AJ54" s="23">
        <f>SUM(AJ5:AJ52)</f>
        <v>1520038.8315040006</v>
      </c>
      <c r="AK54" s="23">
        <f>SUM(AK5:AK52)</f>
        <v>-807787.44842956169</v>
      </c>
      <c r="AL54" s="23">
        <f>SUM(AL5:AL52)</f>
        <v>25240606.037630994</v>
      </c>
      <c r="AM54" s="3"/>
      <c r="AN54" s="3">
        <f t="shared" ref="AN54" si="111">+X54-AC54-AI54</f>
        <v>19074.925961000845</v>
      </c>
      <c r="AO54" s="313">
        <f>SUM(AO5:AO52)</f>
        <v>367272.60607636167</v>
      </c>
      <c r="AP54" s="3"/>
    </row>
    <row r="55" spans="1:42" ht="30.6" customHeight="1" thickTop="1" x14ac:dyDescent="0.2">
      <c r="A55" s="209" t="s">
        <v>233</v>
      </c>
      <c r="B55" s="39"/>
      <c r="C55" s="39"/>
      <c r="D55" s="39"/>
      <c r="E55" s="39"/>
      <c r="F55" s="39"/>
      <c r="G55" s="39"/>
      <c r="H55" s="39"/>
      <c r="I55" s="39"/>
      <c r="J55" s="39"/>
      <c r="K55" s="39"/>
      <c r="L55" s="39"/>
      <c r="M55" s="38"/>
      <c r="N55" s="37"/>
      <c r="O55" s="37"/>
      <c r="R55" s="31"/>
    </row>
    <row r="56" spans="1:42" ht="30.6" customHeight="1" x14ac:dyDescent="0.2">
      <c r="A56" s="257"/>
      <c r="B56" s="258"/>
      <c r="C56" s="258"/>
      <c r="D56" s="258"/>
      <c r="E56" s="258"/>
      <c r="F56" s="258"/>
      <c r="G56" s="258"/>
      <c r="H56" s="258"/>
      <c r="I56" s="258"/>
      <c r="J56" s="258"/>
      <c r="K56" s="258"/>
      <c r="L56" s="258"/>
      <c r="M56" s="38"/>
      <c r="N56" s="37"/>
      <c r="O56" s="37"/>
      <c r="R56" s="31"/>
      <c r="AB56" s="432"/>
      <c r="AC56" s="432"/>
      <c r="AD56" s="432"/>
      <c r="AE56" s="432"/>
      <c r="AF56" s="432"/>
      <c r="AO56" s="314"/>
    </row>
    <row r="57" spans="1:42" ht="15" customHeight="1" x14ac:dyDescent="0.2">
      <c r="R57" s="31"/>
    </row>
    <row r="58" spans="1:42" customFormat="1" ht="15" customHeight="1" thickBot="1" x14ac:dyDescent="0.25">
      <c r="A58" s="22"/>
      <c r="E58" s="15"/>
      <c r="F58" s="425" t="s">
        <v>42</v>
      </c>
      <c r="G58" s="425"/>
      <c r="H58" s="425"/>
      <c r="I58" s="36"/>
      <c r="J58" s="425" t="s">
        <v>43</v>
      </c>
      <c r="K58" s="425"/>
      <c r="L58" s="425"/>
      <c r="M58" s="36"/>
      <c r="N58" s="22"/>
      <c r="O58" s="22"/>
      <c r="Q58" s="32"/>
      <c r="R58" s="27"/>
      <c r="S58" s="1"/>
      <c r="T58" s="1"/>
      <c r="U58" s="34"/>
      <c r="V58" s="5"/>
      <c r="W58" s="186" t="s">
        <v>134</v>
      </c>
      <c r="X58" s="7"/>
      <c r="Y58" s="7"/>
      <c r="Z58" s="7"/>
      <c r="AA58" s="5"/>
      <c r="AB58" s="426" t="s">
        <v>165</v>
      </c>
      <c r="AC58" s="427"/>
      <c r="AD58" s="427"/>
      <c r="AE58" s="427"/>
      <c r="AF58" s="428"/>
      <c r="AG58" s="5"/>
      <c r="AH58" s="429" t="s">
        <v>135</v>
      </c>
      <c r="AI58" s="430"/>
      <c r="AJ58" s="430"/>
      <c r="AK58" s="430"/>
      <c r="AL58" s="431"/>
      <c r="AO58" s="302"/>
    </row>
    <row r="59" spans="1:42" s="15" customFormat="1" ht="24" customHeight="1" x14ac:dyDescent="0.2">
      <c r="A59" s="16" t="s">
        <v>0</v>
      </c>
      <c r="B59" s="8" t="s">
        <v>3</v>
      </c>
      <c r="C59" s="24" t="s">
        <v>8</v>
      </c>
      <c r="D59" s="24" t="s">
        <v>9</v>
      </c>
      <c r="E59" s="8" t="s">
        <v>60</v>
      </c>
      <c r="F59" s="8" t="s">
        <v>53</v>
      </c>
      <c r="G59" s="14" t="s">
        <v>5</v>
      </c>
      <c r="H59" s="14" t="s">
        <v>70</v>
      </c>
      <c r="I59" s="12"/>
      <c r="J59" s="8" t="s">
        <v>53</v>
      </c>
      <c r="K59" s="14" t="s">
        <v>5</v>
      </c>
      <c r="L59" s="14" t="s">
        <v>70</v>
      </c>
      <c r="M59" s="12"/>
      <c r="N59" s="16" t="s">
        <v>6</v>
      </c>
      <c r="O59" s="16" t="s">
        <v>7</v>
      </c>
      <c r="P59" s="16" t="s">
        <v>1</v>
      </c>
      <c r="Q59" s="30" t="s">
        <v>2</v>
      </c>
      <c r="R59" s="16" t="s">
        <v>82</v>
      </c>
      <c r="S59" s="12" t="s">
        <v>113</v>
      </c>
      <c r="T59" s="9" t="s">
        <v>4</v>
      </c>
      <c r="U59" s="12" t="s">
        <v>133</v>
      </c>
      <c r="V59" s="12"/>
      <c r="W59" s="11" t="s">
        <v>32</v>
      </c>
      <c r="X59" s="11" t="s">
        <v>33</v>
      </c>
      <c r="Y59" s="11" t="s">
        <v>34</v>
      </c>
      <c r="Z59" s="10" t="s">
        <v>166</v>
      </c>
      <c r="AA59" s="12"/>
      <c r="AB59" s="21" t="s">
        <v>220</v>
      </c>
      <c r="AC59" s="21" t="s">
        <v>221</v>
      </c>
      <c r="AD59" s="21" t="s">
        <v>222</v>
      </c>
      <c r="AE59" s="21" t="s">
        <v>163</v>
      </c>
      <c r="AF59" s="21" t="s">
        <v>136</v>
      </c>
      <c r="AG59" s="12"/>
      <c r="AH59" s="13" t="s">
        <v>38</v>
      </c>
      <c r="AI59" s="13" t="s">
        <v>39</v>
      </c>
      <c r="AJ59" s="13" t="s">
        <v>40</v>
      </c>
      <c r="AK59" s="13" t="s">
        <v>163</v>
      </c>
      <c r="AL59" s="13" t="s">
        <v>167</v>
      </c>
      <c r="AO59" s="303" t="s">
        <v>163</v>
      </c>
    </row>
    <row r="60" spans="1:42" ht="15" customHeight="1" x14ac:dyDescent="0.2">
      <c r="R60" s="31"/>
    </row>
    <row r="61" spans="1:42" ht="28.5" customHeight="1" x14ac:dyDescent="0.2">
      <c r="A61" s="94" t="s">
        <v>129</v>
      </c>
      <c r="R61" s="31"/>
    </row>
    <row r="62" spans="1:42" s="43" customFormat="1" ht="25.5" customHeight="1" x14ac:dyDescent="0.2">
      <c r="A62" s="184" t="s">
        <v>130</v>
      </c>
      <c r="B62" s="180"/>
      <c r="C62" s="86"/>
      <c r="D62" s="86"/>
      <c r="E62" s="181"/>
      <c r="F62" s="182">
        <v>27143</v>
      </c>
      <c r="G62" s="183">
        <v>41079</v>
      </c>
      <c r="H62" s="381" t="s">
        <v>71</v>
      </c>
      <c r="I62" s="179"/>
      <c r="J62" s="182" t="s">
        <v>137</v>
      </c>
      <c r="K62" s="183">
        <v>41066</v>
      </c>
      <c r="L62" s="137" t="s">
        <v>71</v>
      </c>
      <c r="M62" s="179"/>
      <c r="N62" s="176">
        <v>2013</v>
      </c>
      <c r="O62" s="176">
        <v>2032</v>
      </c>
      <c r="P62" s="177" t="s">
        <v>10</v>
      </c>
      <c r="Q62" s="177" t="s">
        <v>10</v>
      </c>
      <c r="R62" s="53" t="s">
        <v>132</v>
      </c>
      <c r="S62" s="177">
        <v>500000000</v>
      </c>
      <c r="T62" s="178"/>
      <c r="U62" s="411">
        <v>35054294</v>
      </c>
      <c r="V62" s="179"/>
      <c r="W62" s="286">
        <f>+$U62*W$1/100</f>
        <v>788721.61499999999</v>
      </c>
      <c r="X62" s="286">
        <f t="shared" ref="W62:Y66" si="112">+$U62*X$1/100</f>
        <v>445855.56538599997</v>
      </c>
      <c r="Y62" s="286">
        <f t="shared" si="112"/>
        <v>338414.15427600004</v>
      </c>
      <c r="Z62" s="286">
        <f t="shared" ref="Z62" si="113">+W62+X62+Y62</f>
        <v>1572991.334662</v>
      </c>
      <c r="AA62" s="292"/>
      <c r="AB62" s="373">
        <f>ROUND(+(685500*0.02309)+(U62-685500)*0.004029,0)</f>
        <v>154300</v>
      </c>
      <c r="AC62" s="288">
        <f>ROUND(+(685500*(0.013926-0.004075))+(U62)*0.003384,0)</f>
        <v>125377</v>
      </c>
      <c r="AD62" s="288">
        <f>+U62*$Y$1/100</f>
        <v>338414.15427600004</v>
      </c>
      <c r="AE62" s="288">
        <f>ROUND((AI62+AJ62)*0.05+(AH62*0.05),0)</f>
        <v>47745</v>
      </c>
      <c r="AF62" s="288">
        <f>SUM(AB62:AE62)</f>
        <v>665836.1542760001</v>
      </c>
      <c r="AG62" s="292"/>
      <c r="AH62" s="289">
        <f t="shared" ref="AH62" si="114">+W62-AB62</f>
        <v>634421.61499999999</v>
      </c>
      <c r="AI62" s="287">
        <f t="shared" ref="AI62" si="115">+X62-AC62</f>
        <v>320478.56538599997</v>
      </c>
      <c r="AJ62" s="287">
        <f t="shared" ref="AJ62" si="116">+Y62-AD62</f>
        <v>0</v>
      </c>
      <c r="AK62" s="287">
        <f t="shared" ref="AK62" si="117">-AE62</f>
        <v>-47745</v>
      </c>
      <c r="AL62" s="287">
        <f t="shared" ref="AL62" si="118">+Z62-AF62</f>
        <v>907155.18038599985</v>
      </c>
      <c r="AO62" s="305">
        <f>ROUND((AI62+AJ62)*0.05,0)</f>
        <v>16024</v>
      </c>
    </row>
    <row r="63" spans="1:42" s="43" customFormat="1" ht="39.75" customHeight="1" x14ac:dyDescent="0.2">
      <c r="A63" s="184" t="s">
        <v>131</v>
      </c>
      <c r="B63" s="180"/>
      <c r="C63" s="86"/>
      <c r="D63" s="86"/>
      <c r="E63" s="181"/>
      <c r="F63" s="182">
        <v>29336</v>
      </c>
      <c r="G63" s="183">
        <v>43151</v>
      </c>
      <c r="H63" s="185" t="s">
        <v>71</v>
      </c>
      <c r="I63" s="179"/>
      <c r="J63" s="182" t="s">
        <v>138</v>
      </c>
      <c r="K63" s="183">
        <v>43166</v>
      </c>
      <c r="L63" s="137" t="s">
        <v>71</v>
      </c>
      <c r="M63" s="179"/>
      <c r="N63" s="176">
        <v>2018</v>
      </c>
      <c r="O63" s="176">
        <v>2032</v>
      </c>
      <c r="P63" s="201">
        <v>92</v>
      </c>
      <c r="Q63" s="177" t="s">
        <v>10</v>
      </c>
      <c r="R63" s="53" t="s">
        <v>208</v>
      </c>
      <c r="S63" s="177" t="s">
        <v>10</v>
      </c>
      <c r="T63" s="178"/>
      <c r="U63" s="411">
        <v>24607416</v>
      </c>
      <c r="V63" s="179"/>
      <c r="W63" s="286">
        <f t="shared" si="112"/>
        <v>553666.86</v>
      </c>
      <c r="X63" s="286">
        <f t="shared" si="112"/>
        <v>312981.72410400002</v>
      </c>
      <c r="Y63" s="286">
        <f t="shared" si="112"/>
        <v>237559.99406400003</v>
      </c>
      <c r="Z63" s="286">
        <f t="shared" ref="Z63" si="119">+W63+X63+Y63</f>
        <v>1104208.5781680001</v>
      </c>
      <c r="AA63" s="292"/>
      <c r="AB63" s="373">
        <f>ROUND(+(2231247*0.02309)+(U63-2231247)*$W$1/100*0.4,0)</f>
        <v>252905</v>
      </c>
      <c r="AC63" s="288">
        <f>ROUND(+(2231247*(0.015149-0.004223))+(U63)*0.003384,0)</f>
        <v>107650</v>
      </c>
      <c r="AD63" s="288">
        <f>+U63*$Y$1/100</f>
        <v>237559.99406400003</v>
      </c>
      <c r="AE63" s="371">
        <f>ROUND((AI63+AJ63)*0.05+(AH63*0.05),0)</f>
        <v>25305</v>
      </c>
      <c r="AF63" s="288">
        <f>SUM(AB63:AE63)</f>
        <v>623419.99406399997</v>
      </c>
      <c r="AG63" s="292"/>
      <c r="AH63" s="289">
        <f t="shared" ref="AH63" si="120">+W63-AB63</f>
        <v>300761.86</v>
      </c>
      <c r="AI63" s="287">
        <f t="shared" ref="AI63" si="121">+X63-AC63</f>
        <v>205331.72410400002</v>
      </c>
      <c r="AJ63" s="287">
        <f t="shared" ref="AJ63" si="122">+Y63-AD63</f>
        <v>0</v>
      </c>
      <c r="AK63" s="287">
        <f t="shared" ref="AK63" si="123">-AE63</f>
        <v>-25305</v>
      </c>
      <c r="AL63" s="287">
        <f t="shared" ref="AL63" si="124">+Z63-AF63</f>
        <v>480788.58410400013</v>
      </c>
      <c r="AO63" s="340">
        <f t="shared" ref="AO63:AO67" si="125">ROUND((AI63+AJ63)*0.05,0)</f>
        <v>10267</v>
      </c>
    </row>
    <row r="64" spans="1:42" s="43" customFormat="1" ht="39.75" customHeight="1" x14ac:dyDescent="0.2">
      <c r="A64" s="284" t="s">
        <v>174</v>
      </c>
      <c r="B64" s="282"/>
      <c r="C64" s="86"/>
      <c r="D64" s="86"/>
      <c r="E64" s="283"/>
      <c r="F64" s="293">
        <v>30103</v>
      </c>
      <c r="G64" s="85">
        <v>43753</v>
      </c>
      <c r="H64" s="137" t="s">
        <v>71</v>
      </c>
      <c r="I64" s="294"/>
      <c r="J64" s="293" t="s">
        <v>175</v>
      </c>
      <c r="K64" s="85">
        <v>43817</v>
      </c>
      <c r="L64" s="137" t="s">
        <v>71</v>
      </c>
      <c r="M64" s="294"/>
      <c r="N64" s="293">
        <v>2020</v>
      </c>
      <c r="O64" s="290">
        <v>2040</v>
      </c>
      <c r="P64" s="291" t="s">
        <v>10</v>
      </c>
      <c r="Q64" s="291" t="s">
        <v>10</v>
      </c>
      <c r="R64" s="53" t="s">
        <v>176</v>
      </c>
      <c r="S64" s="291" t="s">
        <v>10</v>
      </c>
      <c r="T64" s="285"/>
      <c r="U64" s="411">
        <v>626480</v>
      </c>
      <c r="V64" s="280"/>
      <c r="W64" s="276">
        <f t="shared" si="112"/>
        <v>14095.8</v>
      </c>
      <c r="X64" s="276">
        <f t="shared" si="112"/>
        <v>7968.1991200000002</v>
      </c>
      <c r="Y64" s="276">
        <f t="shared" si="112"/>
        <v>6048.0379199999998</v>
      </c>
      <c r="Z64" s="276">
        <f t="shared" ref="Z64" si="126">+W64+X64+Y64</f>
        <v>28112.037039999999</v>
      </c>
      <c r="AA64" s="280"/>
      <c r="AB64" s="373">
        <f>ROUND(+(0*0.02277)+(U64-0)*0.004029,0)</f>
        <v>2524</v>
      </c>
      <c r="AC64" s="338">
        <f>ROUND(+(0*(0.015149-0.004612))+(U64)*0.003384,0)</f>
        <v>2120</v>
      </c>
      <c r="AD64" s="278">
        <f>+U64*$Y$1/100</f>
        <v>6048.0379199999998</v>
      </c>
      <c r="AE64" s="371">
        <f>ROUND((AI64+AJ64)*0.05+(AH64*0.05),0)</f>
        <v>871</v>
      </c>
      <c r="AF64" s="278">
        <f>SUM(AB64:AE64)</f>
        <v>11563.037919999999</v>
      </c>
      <c r="AG64" s="280"/>
      <c r="AH64" s="279">
        <f t="shared" ref="AH64" si="127">+W64-AB64</f>
        <v>11571.8</v>
      </c>
      <c r="AI64" s="277">
        <f t="shared" ref="AI64" si="128">+X64-AC64</f>
        <v>5848.1991200000002</v>
      </c>
      <c r="AJ64" s="277">
        <f t="shared" ref="AJ64" si="129">+Y64-AD64</f>
        <v>0</v>
      </c>
      <c r="AK64" s="277">
        <f t="shared" ref="AK64" si="130">-AE64</f>
        <v>-871</v>
      </c>
      <c r="AL64" s="277">
        <f t="shared" ref="AL64" si="131">+Z64-AF64</f>
        <v>16548.99912</v>
      </c>
      <c r="AO64" s="340">
        <f t="shared" si="125"/>
        <v>292</v>
      </c>
    </row>
    <row r="65" spans="1:42" s="43" customFormat="1" ht="39.75" customHeight="1" x14ac:dyDescent="0.2">
      <c r="A65" s="315" t="s">
        <v>203</v>
      </c>
      <c r="B65" s="379"/>
      <c r="C65" s="86"/>
      <c r="D65" s="86"/>
      <c r="E65" s="380"/>
      <c r="F65" s="376">
        <v>31115</v>
      </c>
      <c r="G65" s="85">
        <v>44698</v>
      </c>
      <c r="H65" s="137" t="s">
        <v>71</v>
      </c>
      <c r="I65" s="378"/>
      <c r="J65" s="376" t="s">
        <v>205</v>
      </c>
      <c r="K65" s="85">
        <v>44762</v>
      </c>
      <c r="L65" s="137" t="s">
        <v>71</v>
      </c>
      <c r="M65" s="378"/>
      <c r="N65" s="422" t="s">
        <v>211</v>
      </c>
      <c r="O65" s="422"/>
      <c r="P65" s="422"/>
      <c r="Q65" s="422"/>
      <c r="R65" s="53" t="s">
        <v>210</v>
      </c>
      <c r="S65" s="377" t="s">
        <v>214</v>
      </c>
      <c r="T65" s="285"/>
      <c r="U65" s="411">
        <v>4043040</v>
      </c>
      <c r="V65" s="378"/>
      <c r="W65" s="375">
        <f>+$U65*W$1/100</f>
        <v>90968.4</v>
      </c>
      <c r="X65" s="375">
        <f>+$U65*X$1/100</f>
        <v>51423.425760000006</v>
      </c>
      <c r="Y65" s="375">
        <f>+$U65*Y$1/100</f>
        <v>39031.508159999998</v>
      </c>
      <c r="Z65" s="375">
        <f>+W65+X65+Y65</f>
        <v>181423.33392</v>
      </c>
      <c r="AA65" s="378"/>
      <c r="AB65" s="373">
        <f>ROUND(3585680*2.25/100+((U65-3585680)*2.25/100)*0.4,0)</f>
        <v>84794</v>
      </c>
      <c r="AC65" s="373">
        <f>ROUND(+(3585680*(0.012257-0.00365))+(U65)*0.003384,0)</f>
        <v>44544</v>
      </c>
      <c r="AD65" s="373">
        <f>+U65*$Y$1/100</f>
        <v>39031.508159999998</v>
      </c>
      <c r="AE65" s="410">
        <f>ROUND((AI65+AJ65)*0.05+(AH65*0.0025),0)</f>
        <v>359</v>
      </c>
      <c r="AF65" s="410">
        <f>SUM(AB65:AE65)</f>
        <v>168728.50816</v>
      </c>
      <c r="AG65" s="378"/>
      <c r="AH65" s="374">
        <f>+W65-AB65</f>
        <v>6174.3999999999942</v>
      </c>
      <c r="AI65" s="372">
        <f>+X65-AC65</f>
        <v>6879.4257600000055</v>
      </c>
      <c r="AJ65" s="372">
        <f>+Y65-AD65</f>
        <v>0</v>
      </c>
      <c r="AK65" s="372">
        <f>-AE65</f>
        <v>-359</v>
      </c>
      <c r="AL65" s="372">
        <f>+Z65-AF65</f>
        <v>12694.825760000007</v>
      </c>
      <c r="AO65" s="418">
        <f t="shared" si="125"/>
        <v>344</v>
      </c>
    </row>
    <row r="66" spans="1:42" s="43" customFormat="1" ht="63.75" customHeight="1" x14ac:dyDescent="0.2">
      <c r="A66" s="315" t="s">
        <v>202</v>
      </c>
      <c r="B66" s="379"/>
      <c r="C66" s="86"/>
      <c r="D66" s="86"/>
      <c r="E66" s="380"/>
      <c r="F66" s="376">
        <v>31194</v>
      </c>
      <c r="G66" s="85">
        <v>44768</v>
      </c>
      <c r="H66" s="137" t="s">
        <v>71</v>
      </c>
      <c r="I66" s="378"/>
      <c r="J66" s="376" t="s">
        <v>204</v>
      </c>
      <c r="K66" s="85">
        <v>44776</v>
      </c>
      <c r="L66" s="137" t="s">
        <v>71</v>
      </c>
      <c r="M66" s="378"/>
      <c r="N66" s="422" t="s">
        <v>212</v>
      </c>
      <c r="O66" s="422"/>
      <c r="P66" s="422"/>
      <c r="Q66" s="422"/>
      <c r="R66" s="53" t="s">
        <v>209</v>
      </c>
      <c r="S66" s="377" t="s">
        <v>213</v>
      </c>
      <c r="T66" s="285"/>
      <c r="U66" s="411">
        <v>49208735</v>
      </c>
      <c r="V66" s="378"/>
      <c r="W66" s="375">
        <f t="shared" si="112"/>
        <v>1107196.5375000001</v>
      </c>
      <c r="X66" s="375">
        <f t="shared" si="112"/>
        <v>625885.90046500007</v>
      </c>
      <c r="Y66" s="375">
        <f t="shared" si="112"/>
        <v>475061.12768999999</v>
      </c>
      <c r="Z66" s="375">
        <f t="shared" ref="Z66" si="132">+W66+X66+Y66</f>
        <v>2208143.565655</v>
      </c>
      <c r="AA66" s="378"/>
      <c r="AB66" s="373">
        <f>ROUND(+(43550355*0.0225)+(U66-43550355)*W1/100*0.25,0)</f>
        <v>1011711</v>
      </c>
      <c r="AC66" s="373">
        <f>ROUND(+(43550355*(0.012257-0.00365))+(U66)*0.003384,0)</f>
        <v>541360</v>
      </c>
      <c r="AD66" s="373">
        <f t="shared" ref="AD66" si="133">+U66*$Y$1/100</f>
        <v>475061.12768999999</v>
      </c>
      <c r="AE66" s="410">
        <f t="shared" ref="AE66" si="134">ROUND((AI66+AJ66)*0.05+(AH66*0.0025),0)</f>
        <v>4465</v>
      </c>
      <c r="AF66" s="410">
        <f t="shared" ref="AF66" si="135">SUM(AB66:AE66)</f>
        <v>2032597.12769</v>
      </c>
      <c r="AG66" s="378"/>
      <c r="AH66" s="374">
        <f t="shared" ref="AH66" si="136">+W66-AB66</f>
        <v>95485.537500000093</v>
      </c>
      <c r="AI66" s="372">
        <f t="shared" ref="AI66" si="137">+X66-AC66</f>
        <v>84525.900465000072</v>
      </c>
      <c r="AJ66" s="372">
        <f t="shared" ref="AJ66" si="138">+Y66-AD66</f>
        <v>0</v>
      </c>
      <c r="AK66" s="372">
        <f t="shared" ref="AK66" si="139">-AE66</f>
        <v>-4465</v>
      </c>
      <c r="AL66" s="372">
        <f t="shared" ref="AL66" si="140">+Z66-AF66</f>
        <v>175546.43796500005</v>
      </c>
      <c r="AO66" s="418">
        <f t="shared" si="125"/>
        <v>4226</v>
      </c>
    </row>
    <row r="67" spans="1:42" s="43" customFormat="1" ht="93" customHeight="1" x14ac:dyDescent="0.2">
      <c r="A67" s="363" t="s">
        <v>229</v>
      </c>
      <c r="B67" s="364"/>
      <c r="C67" s="335"/>
      <c r="D67" s="335"/>
      <c r="E67" s="362"/>
      <c r="F67" s="419">
        <v>31836</v>
      </c>
      <c r="G67" s="85">
        <v>45230</v>
      </c>
      <c r="H67" s="137" t="s">
        <v>71</v>
      </c>
      <c r="I67" s="420"/>
      <c r="J67" s="419" t="s">
        <v>230</v>
      </c>
      <c r="K67" s="85">
        <v>45231</v>
      </c>
      <c r="L67" s="137" t="s">
        <v>71</v>
      </c>
      <c r="M67" s="417"/>
      <c r="N67" s="422" t="s">
        <v>212</v>
      </c>
      <c r="O67" s="422"/>
      <c r="P67" s="422"/>
      <c r="Q67" s="422"/>
      <c r="R67" s="53" t="s">
        <v>231</v>
      </c>
      <c r="S67" s="416" t="s">
        <v>232</v>
      </c>
      <c r="T67" s="285"/>
      <c r="U67" s="417"/>
      <c r="V67" s="417"/>
      <c r="W67" s="415"/>
      <c r="X67" s="415"/>
      <c r="Y67" s="415"/>
      <c r="Z67" s="415"/>
      <c r="AA67" s="417"/>
      <c r="AB67" s="413"/>
      <c r="AC67" s="413"/>
      <c r="AD67" s="413"/>
      <c r="AE67" s="413"/>
      <c r="AF67" s="413"/>
      <c r="AG67" s="417"/>
      <c r="AH67" s="414"/>
      <c r="AI67" s="412"/>
      <c r="AJ67" s="412"/>
      <c r="AK67" s="412"/>
      <c r="AL67" s="412"/>
      <c r="AO67" s="418">
        <f t="shared" si="125"/>
        <v>0</v>
      </c>
    </row>
    <row r="68" spans="1:42" s="43" customFormat="1" ht="4.5" customHeight="1" x14ac:dyDescent="0.2">
      <c r="A68" s="63"/>
      <c r="B68" s="64"/>
      <c r="C68" s="65"/>
      <c r="D68" s="65"/>
      <c r="E68" s="66"/>
      <c r="F68" s="65"/>
      <c r="G68" s="67"/>
      <c r="H68" s="68"/>
      <c r="I68" s="69"/>
      <c r="J68" s="65"/>
      <c r="K68" s="67"/>
      <c r="L68" s="72"/>
      <c r="M68" s="69"/>
      <c r="N68" s="142"/>
      <c r="O68" s="142"/>
      <c r="P68" s="143"/>
      <c r="Q68" s="75"/>
      <c r="R68" s="144"/>
      <c r="S68" s="69"/>
      <c r="T68" s="145"/>
      <c r="U68" s="69"/>
      <c r="V68" s="69"/>
      <c r="W68" s="78"/>
      <c r="X68" s="78"/>
      <c r="Y68" s="78"/>
      <c r="Z68" s="78"/>
      <c r="AA68" s="69"/>
      <c r="AB68" s="80"/>
      <c r="AC68" s="146"/>
      <c r="AD68" s="146"/>
      <c r="AE68" s="146"/>
      <c r="AF68" s="146"/>
      <c r="AG68" s="69"/>
      <c r="AH68" s="81"/>
      <c r="AI68" s="147"/>
      <c r="AJ68" s="147"/>
      <c r="AK68" s="147"/>
      <c r="AL68" s="147"/>
      <c r="AO68" s="312"/>
    </row>
    <row r="69" spans="1:42" ht="25.5" customHeight="1" thickBot="1" x14ac:dyDescent="0.25">
      <c r="R69" s="31"/>
      <c r="W69" s="26">
        <f>SUM(W62:W68)</f>
        <v>2554649.2125000004</v>
      </c>
      <c r="X69" s="26">
        <f>SUM(X62:X68)</f>
        <v>1444114.8148350001</v>
      </c>
      <c r="Y69" s="26">
        <f>SUM(Y62:Y68)</f>
        <v>1096114.8221100001</v>
      </c>
      <c r="Z69" s="26">
        <f>SUM(Z62:Z68)</f>
        <v>5094878.8494450003</v>
      </c>
      <c r="AB69" s="25">
        <f>SUM(AB62:AB68)</f>
        <v>1506234</v>
      </c>
      <c r="AC69" s="25">
        <f>SUM(AC62:AC68)</f>
        <v>821051</v>
      </c>
      <c r="AD69" s="25">
        <f>SUM(AD62:AD68)</f>
        <v>1096114.8221100001</v>
      </c>
      <c r="AE69" s="25">
        <f>SUM(AE62:AE68)</f>
        <v>78745</v>
      </c>
      <c r="AF69" s="25">
        <f>SUM(AF62:AF68)</f>
        <v>3502144.8221100001</v>
      </c>
      <c r="AH69" s="23">
        <f>SUM(AH62:AH68)</f>
        <v>1048415.2125000001</v>
      </c>
      <c r="AI69" s="23">
        <f>SUM(AI62:AI68)</f>
        <v>623063.81483500008</v>
      </c>
      <c r="AJ69" s="23">
        <f>SUM(AJ62:AJ68)</f>
        <v>0</v>
      </c>
      <c r="AK69" s="23">
        <f>SUM(AK62:AK68)</f>
        <v>-78745</v>
      </c>
      <c r="AL69" s="23">
        <f>SUM(AL62:AL68)</f>
        <v>1592734.027335</v>
      </c>
      <c r="AM69" s="3"/>
      <c r="AN69" s="3">
        <f t="shared" ref="AN69" si="141">+X69-AC69-AI69</f>
        <v>0</v>
      </c>
      <c r="AO69" s="313">
        <f>SUM(AO62:AO68)</f>
        <v>31153</v>
      </c>
      <c r="AP69" s="3"/>
    </row>
    <row r="70" spans="1:42" ht="15" customHeight="1" thickTop="1" x14ac:dyDescent="0.2">
      <c r="R70" s="31"/>
    </row>
    <row r="71" spans="1:42" ht="15" customHeight="1" x14ac:dyDescent="0.2">
      <c r="E71" s="22"/>
      <c r="I71" s="22"/>
      <c r="R71" s="31"/>
    </row>
    <row r="72" spans="1:42" ht="15" customHeight="1" x14ac:dyDescent="0.2">
      <c r="R72" s="31"/>
      <c r="AB72" s="339"/>
    </row>
    <row r="73" spans="1:42" ht="15" customHeight="1" x14ac:dyDescent="0.2">
      <c r="R73" s="31"/>
      <c r="AB73" s="339"/>
    </row>
    <row r="74" spans="1:42" ht="15" customHeight="1" x14ac:dyDescent="0.2">
      <c r="R74" s="31"/>
      <c r="AB74" s="339"/>
    </row>
    <row r="75" spans="1:42" ht="15" customHeight="1" x14ac:dyDescent="0.2">
      <c r="R75" s="31"/>
    </row>
    <row r="76" spans="1:42" ht="15" customHeight="1" x14ac:dyDescent="0.2">
      <c r="R76" s="31"/>
    </row>
    <row r="77" spans="1:42" ht="15" customHeight="1" x14ac:dyDescent="0.2">
      <c r="R77" s="31"/>
    </row>
    <row r="78" spans="1:42" ht="15" customHeight="1" x14ac:dyDescent="0.2">
      <c r="R78" s="31"/>
    </row>
    <row r="79" spans="1:42" ht="15" customHeight="1" x14ac:dyDescent="0.2">
      <c r="R79" s="31"/>
    </row>
    <row r="80" spans="1:42" ht="15" customHeight="1" x14ac:dyDescent="0.2">
      <c r="R80" s="31"/>
    </row>
    <row r="81" spans="18:18" ht="15" customHeight="1" x14ac:dyDescent="0.2">
      <c r="R81" s="31"/>
    </row>
    <row r="82" spans="18:18" ht="15" customHeight="1" x14ac:dyDescent="0.2">
      <c r="R82" s="31"/>
    </row>
    <row r="83" spans="18:18" ht="15" customHeight="1" x14ac:dyDescent="0.2">
      <c r="R83" s="31"/>
    </row>
    <row r="84" spans="18:18" ht="15" customHeight="1" x14ac:dyDescent="0.2">
      <c r="R84" s="31"/>
    </row>
    <row r="85" spans="18:18" ht="15" customHeight="1" x14ac:dyDescent="0.2">
      <c r="R85" s="31"/>
    </row>
    <row r="86" spans="18:18" ht="15" customHeight="1" x14ac:dyDescent="0.2">
      <c r="R86" s="31"/>
    </row>
    <row r="87" spans="18:18" ht="15" customHeight="1" x14ac:dyDescent="0.2">
      <c r="R87" s="31"/>
    </row>
    <row r="88" spans="18:18" ht="15" customHeight="1" x14ac:dyDescent="0.2">
      <c r="R88" s="31"/>
    </row>
    <row r="89" spans="18:18" ht="15" customHeight="1" x14ac:dyDescent="0.2">
      <c r="R89" s="31"/>
    </row>
    <row r="90" spans="18:18" ht="15" customHeight="1" x14ac:dyDescent="0.2">
      <c r="R90" s="31"/>
    </row>
    <row r="91" spans="18:18" ht="15" customHeight="1" x14ac:dyDescent="0.2">
      <c r="R91" s="31"/>
    </row>
    <row r="92" spans="18:18" ht="15" customHeight="1" x14ac:dyDescent="0.2">
      <c r="R92" s="31"/>
    </row>
    <row r="93" spans="18:18" ht="15" customHeight="1" x14ac:dyDescent="0.2">
      <c r="R93" s="31"/>
    </row>
    <row r="94" spans="18:18" ht="15" customHeight="1" x14ac:dyDescent="0.2">
      <c r="R94" s="31"/>
    </row>
    <row r="95" spans="18:18" ht="15" customHeight="1" x14ac:dyDescent="0.2">
      <c r="R95" s="31"/>
    </row>
    <row r="96" spans="18:18" ht="15" customHeight="1" x14ac:dyDescent="0.2">
      <c r="R96" s="31"/>
    </row>
    <row r="97" spans="18:18" ht="15" customHeight="1" x14ac:dyDescent="0.2">
      <c r="R97" s="31"/>
    </row>
    <row r="98" spans="18:18" ht="15" customHeight="1" x14ac:dyDescent="0.2">
      <c r="R98" s="31"/>
    </row>
    <row r="99" spans="18:18" ht="15" customHeight="1" x14ac:dyDescent="0.2">
      <c r="R99" s="31"/>
    </row>
    <row r="100" spans="18:18" ht="15" customHeight="1" x14ac:dyDescent="0.2">
      <c r="R100" s="31"/>
    </row>
    <row r="101" spans="18:18" ht="15" customHeight="1" x14ac:dyDescent="0.2">
      <c r="R101" s="31"/>
    </row>
    <row r="102" spans="18:18" ht="15" customHeight="1" x14ac:dyDescent="0.2">
      <c r="R102" s="31"/>
    </row>
    <row r="103" spans="18:18" ht="15" customHeight="1" x14ac:dyDescent="0.2">
      <c r="R103" s="31"/>
    </row>
    <row r="104" spans="18:18" ht="15" customHeight="1" x14ac:dyDescent="0.2">
      <c r="R104" s="31"/>
    </row>
    <row r="105" spans="18:18" ht="15" customHeight="1" x14ac:dyDescent="0.2">
      <c r="R105" s="31"/>
    </row>
    <row r="106" spans="18:18" ht="15" customHeight="1" x14ac:dyDescent="0.2">
      <c r="R106" s="31"/>
    </row>
    <row r="107" spans="18:18" ht="15" customHeight="1" x14ac:dyDescent="0.2">
      <c r="R107" s="31"/>
    </row>
    <row r="108" spans="18:18" ht="15" customHeight="1" x14ac:dyDescent="0.2">
      <c r="R108" s="31"/>
    </row>
    <row r="109" spans="18:18" ht="15" customHeight="1" x14ac:dyDescent="0.2">
      <c r="R109" s="31"/>
    </row>
    <row r="110" spans="18:18" ht="15" customHeight="1" x14ac:dyDescent="0.2">
      <c r="R110" s="31"/>
    </row>
    <row r="111" spans="18:18" ht="15" customHeight="1" x14ac:dyDescent="0.2">
      <c r="R111" s="31"/>
    </row>
    <row r="112" spans="18:18" ht="15" customHeight="1" x14ac:dyDescent="0.2">
      <c r="R112" s="31"/>
    </row>
    <row r="113" spans="18:18" ht="15" customHeight="1" x14ac:dyDescent="0.2">
      <c r="R113" s="31"/>
    </row>
    <row r="114" spans="18:18" ht="15" customHeight="1" x14ac:dyDescent="0.2">
      <c r="R114" s="31"/>
    </row>
    <row r="115" spans="18:18" ht="15" customHeight="1" x14ac:dyDescent="0.2">
      <c r="R115" s="31"/>
    </row>
    <row r="116" spans="18:18" ht="15" customHeight="1" x14ac:dyDescent="0.2">
      <c r="R116" s="31"/>
    </row>
    <row r="117" spans="18:18" ht="15" customHeight="1" x14ac:dyDescent="0.2">
      <c r="R117" s="31"/>
    </row>
    <row r="118" spans="18:18" ht="15" customHeight="1" x14ac:dyDescent="0.2">
      <c r="R118" s="31"/>
    </row>
    <row r="119" spans="18:18" ht="15" customHeight="1" x14ac:dyDescent="0.2">
      <c r="R119" s="31"/>
    </row>
    <row r="120" spans="18:18" ht="15" customHeight="1" x14ac:dyDescent="0.2">
      <c r="R120" s="31"/>
    </row>
    <row r="121" spans="18:18" ht="15" customHeight="1" x14ac:dyDescent="0.2">
      <c r="R121" s="31"/>
    </row>
    <row r="122" spans="18:18" ht="15" customHeight="1" x14ac:dyDescent="0.2">
      <c r="R122" s="31"/>
    </row>
  </sheetData>
  <autoFilter ref="A3:AL52" xr:uid="{00000000-0009-0000-0000-000000000000}"/>
  <mergeCells count="88">
    <mergeCell ref="AL25:AL26"/>
    <mergeCell ref="AF25:AF26"/>
    <mergeCell ref="AH25:AH26"/>
    <mergeCell ref="AI25:AI26"/>
    <mergeCell ref="AB25:AB26"/>
    <mergeCell ref="AC25:AC26"/>
    <mergeCell ref="AC22:AC24"/>
    <mergeCell ref="AJ25:AJ26"/>
    <mergeCell ref="AK25:AK26"/>
    <mergeCell ref="AD25:AD26"/>
    <mergeCell ref="AE25:AE26"/>
    <mergeCell ref="AF22:AF24"/>
    <mergeCell ref="AD22:AD24"/>
    <mergeCell ref="AE22:AE24"/>
    <mergeCell ref="N67:Q67"/>
    <mergeCell ref="AO20:AO21"/>
    <mergeCell ref="AO22:AO24"/>
    <mergeCell ref="AO25:AO26"/>
    <mergeCell ref="AI22:AI24"/>
    <mergeCell ref="AJ22:AJ24"/>
    <mergeCell ref="AK22:AK24"/>
    <mergeCell ref="AL22:AL24"/>
    <mergeCell ref="AI20:AI21"/>
    <mergeCell ref="AJ20:AJ21"/>
    <mergeCell ref="AK20:AK21"/>
    <mergeCell ref="AL20:AL21"/>
    <mergeCell ref="AB22:AB24"/>
    <mergeCell ref="AH22:AH24"/>
    <mergeCell ref="Y25:Y26"/>
    <mergeCell ref="Z25:Z26"/>
    <mergeCell ref="U25:U26"/>
    <mergeCell ref="W25:W26"/>
    <mergeCell ref="A22:A24"/>
    <mergeCell ref="B22:B24"/>
    <mergeCell ref="E22:E24"/>
    <mergeCell ref="A25:A26"/>
    <mergeCell ref="B25:B26"/>
    <mergeCell ref="E25:E26"/>
    <mergeCell ref="F2:H2"/>
    <mergeCell ref="J2:L2"/>
    <mergeCell ref="AB2:AF2"/>
    <mergeCell ref="AH2:AL2"/>
    <mergeCell ref="A20:A21"/>
    <mergeCell ref="N20:N21"/>
    <mergeCell ref="O20:O21"/>
    <mergeCell ref="P20:P21"/>
    <mergeCell ref="Q20:Q21"/>
    <mergeCell ref="S20:S21"/>
    <mergeCell ref="U20:U21"/>
    <mergeCell ref="W20:W21"/>
    <mergeCell ref="X20:X21"/>
    <mergeCell ref="Y20:Y21"/>
    <mergeCell ref="Z20:Z21"/>
    <mergeCell ref="AB20:AB21"/>
    <mergeCell ref="B20:B21"/>
    <mergeCell ref="E20:E21"/>
    <mergeCell ref="F20:F21"/>
    <mergeCell ref="G20:G21"/>
    <mergeCell ref="H20:H21"/>
    <mergeCell ref="AC20:AC21"/>
    <mergeCell ref="AD20:AD21"/>
    <mergeCell ref="AE20:AE21"/>
    <mergeCell ref="AF20:AF21"/>
    <mergeCell ref="AH20:AH21"/>
    <mergeCell ref="AB58:AF58"/>
    <mergeCell ref="AH58:AL58"/>
    <mergeCell ref="AB56:AF56"/>
    <mergeCell ref="N22:N24"/>
    <mergeCell ref="O22:O24"/>
    <mergeCell ref="P22:P24"/>
    <mergeCell ref="Q22:Q24"/>
    <mergeCell ref="R22:R24"/>
    <mergeCell ref="U22:U24"/>
    <mergeCell ref="W22:W24"/>
    <mergeCell ref="X22:X24"/>
    <mergeCell ref="Y22:Y24"/>
    <mergeCell ref="Z22:Z24"/>
    <mergeCell ref="N25:N26"/>
    <mergeCell ref="O25:O26"/>
    <mergeCell ref="X25:X26"/>
    <mergeCell ref="N65:Q65"/>
    <mergeCell ref="N66:Q66"/>
    <mergeCell ref="S22:S24"/>
    <mergeCell ref="F58:H58"/>
    <mergeCell ref="J58:L58"/>
    <mergeCell ref="P25:P26"/>
    <mergeCell ref="Q25:Q26"/>
    <mergeCell ref="S25:S26"/>
  </mergeCells>
  <hyperlinks>
    <hyperlink ref="H6" r:id="rId1" xr:uid="{00000000-0004-0000-0000-000000000000}"/>
    <hyperlink ref="H20" r:id="rId2" xr:uid="{00000000-0004-0000-0000-000002000000}"/>
    <hyperlink ref="H10" r:id="rId3" xr:uid="{00000000-0004-0000-0000-000003000000}"/>
    <hyperlink ref="H11" r:id="rId4" xr:uid="{00000000-0004-0000-0000-000004000000}"/>
    <hyperlink ref="H13" r:id="rId5" xr:uid="{00000000-0004-0000-0000-000005000000}"/>
    <hyperlink ref="H14" r:id="rId6" xr:uid="{00000000-0004-0000-0000-000006000000}"/>
    <hyperlink ref="H16" r:id="rId7" xr:uid="{00000000-0004-0000-0000-000007000000}"/>
    <hyperlink ref="H17" r:id="rId8" xr:uid="{00000000-0004-0000-0000-000008000000}"/>
    <hyperlink ref="H28" r:id="rId9" xr:uid="{00000000-0004-0000-0000-000009000000}"/>
    <hyperlink ref="H48" r:id="rId10" xr:uid="{00000000-0004-0000-0000-00000A000000}"/>
    <hyperlink ref="H49" r:id="rId11" xr:uid="{00000000-0004-0000-0000-00000B000000}"/>
    <hyperlink ref="H50" r:id="rId12" xr:uid="{00000000-0004-0000-0000-00000C000000}"/>
    <hyperlink ref="L50" r:id="rId13" xr:uid="{00000000-0004-0000-0000-00000D000000}"/>
    <hyperlink ref="L6" r:id="rId14" xr:uid="{00000000-0004-0000-0000-00000E000000}"/>
    <hyperlink ref="L10" r:id="rId15" xr:uid="{00000000-0004-0000-0000-000010000000}"/>
    <hyperlink ref="L11" r:id="rId16" xr:uid="{00000000-0004-0000-0000-000011000000}"/>
    <hyperlink ref="L13" r:id="rId17" xr:uid="{00000000-0004-0000-0000-000012000000}"/>
    <hyperlink ref="L14" r:id="rId18" xr:uid="{00000000-0004-0000-0000-000013000000}"/>
    <hyperlink ref="L16" r:id="rId19" xr:uid="{00000000-0004-0000-0000-000014000000}"/>
    <hyperlink ref="L17" r:id="rId20" xr:uid="{00000000-0004-0000-0000-000015000000}"/>
    <hyperlink ref="L28" r:id="rId21" xr:uid="{00000000-0004-0000-0000-000016000000}"/>
    <hyperlink ref="L48" r:id="rId22" xr:uid="{00000000-0004-0000-0000-000017000000}"/>
    <hyperlink ref="L49" r:id="rId23" xr:uid="{00000000-0004-0000-0000-000018000000}"/>
    <hyperlink ref="H41" r:id="rId24" xr:uid="{00000000-0004-0000-0000-000019000000}"/>
    <hyperlink ref="L41" r:id="rId25" xr:uid="{00000000-0004-0000-0000-00001A000000}"/>
    <hyperlink ref="H22" r:id="rId26" xr:uid="{00000000-0004-0000-0000-00001B000000}"/>
    <hyperlink ref="H7" r:id="rId27" xr:uid="{00000000-0004-0000-0000-00001C000000}"/>
    <hyperlink ref="L36" r:id="rId28" xr:uid="{00000000-0004-0000-0000-00001D000000}"/>
    <hyperlink ref="L22" r:id="rId29" xr:uid="{00000000-0004-0000-0000-00001E000000}"/>
    <hyperlink ref="L7" r:id="rId30" xr:uid="{00000000-0004-0000-0000-00001F000000}"/>
    <hyperlink ref="H36" r:id="rId31" xr:uid="{00000000-0004-0000-0000-000020000000}"/>
    <hyperlink ref="L20" r:id="rId32" xr:uid="{00000000-0004-0000-0000-000021000000}"/>
    <hyperlink ref="L21" r:id="rId33" xr:uid="{00000000-0004-0000-0000-000022000000}"/>
    <hyperlink ref="H23" r:id="rId34" xr:uid="{00000000-0004-0000-0000-000023000000}"/>
    <hyperlink ref="L23" r:id="rId35" xr:uid="{00000000-0004-0000-0000-000024000000}"/>
    <hyperlink ref="L33" r:id="rId36" xr:uid="{00000000-0004-0000-0000-000025000000}"/>
    <hyperlink ref="H18" r:id="rId37" xr:uid="{00000000-0004-0000-0000-000026000000}"/>
    <hyperlink ref="L18" r:id="rId38" xr:uid="{00000000-0004-0000-0000-000027000000}"/>
    <hyperlink ref="H40" r:id="rId39" xr:uid="{00000000-0004-0000-0000-000028000000}"/>
    <hyperlink ref="L40" r:id="rId40" xr:uid="{00000000-0004-0000-0000-000029000000}"/>
    <hyperlink ref="L52" r:id="rId41" xr:uid="{00000000-0004-0000-0000-00002C000000}"/>
    <hyperlink ref="H52" r:id="rId42" xr:uid="{00000000-0004-0000-0000-00002D000000}"/>
    <hyperlink ref="H8" r:id="rId43" xr:uid="{00000000-0004-0000-0000-000030000000}"/>
    <hyperlink ref="L8" r:id="rId44" xr:uid="{00000000-0004-0000-0000-000031000000}"/>
    <hyperlink ref="L47" r:id="rId45" xr:uid="{00000000-0004-0000-0000-000032000000}"/>
    <hyperlink ref="H47" r:id="rId46" xr:uid="{00000000-0004-0000-0000-000033000000}"/>
    <hyperlink ref="H46" r:id="rId47" xr:uid="{00000000-0004-0000-0000-000034000000}"/>
    <hyperlink ref="L46" r:id="rId48" xr:uid="{00000000-0004-0000-0000-000035000000}"/>
    <hyperlink ref="L62" r:id="rId49" xr:uid="{00000000-0004-0000-0000-000036000000}"/>
    <hyperlink ref="L63" r:id="rId50" xr:uid="{00000000-0004-0000-0000-000037000000}"/>
    <hyperlink ref="H63" r:id="rId51" xr:uid="{00000000-0004-0000-0000-000038000000}"/>
    <hyperlink ref="H62" r:id="rId52" xr:uid="{00000000-0004-0000-0000-000039000000}"/>
    <hyperlink ref="L37" r:id="rId53" xr:uid="{00000000-0004-0000-0000-00003A000000}"/>
    <hyperlink ref="H37" r:id="rId54" xr:uid="{00000000-0004-0000-0000-00003B000000}"/>
    <hyperlink ref="L44" r:id="rId55" xr:uid="{00000000-0004-0000-0000-00003C000000}"/>
    <hyperlink ref="H44" r:id="rId56" xr:uid="{00000000-0004-0000-0000-00003D000000}"/>
    <hyperlink ref="H25" r:id="rId57" xr:uid="{00000000-0004-0000-0000-00003E000000}"/>
    <hyperlink ref="L25" r:id="rId58" xr:uid="{00000000-0004-0000-0000-00003F000000}"/>
    <hyperlink ref="H42" r:id="rId59" xr:uid="{00000000-0004-0000-0000-000040000000}"/>
    <hyperlink ref="L42" r:id="rId60" xr:uid="{00000000-0004-0000-0000-000041000000}"/>
    <hyperlink ref="L24" r:id="rId61" xr:uid="{00000000-0004-0000-0000-000042000000}"/>
    <hyperlink ref="H24" r:id="rId62" xr:uid="{00000000-0004-0000-0000-000043000000}"/>
    <hyperlink ref="H64" r:id="rId63" xr:uid="{00000000-0004-0000-0000-000044000000}"/>
    <hyperlink ref="L64" r:id="rId64" xr:uid="{00000000-0004-0000-0000-000045000000}"/>
    <hyperlink ref="L34" r:id="rId65" xr:uid="{00000000-0004-0000-0000-000046000000}"/>
    <hyperlink ref="L27" r:id="rId66" xr:uid="{00000000-0004-0000-0000-000047000000}"/>
    <hyperlink ref="H33" r:id="rId67" xr:uid="{00000000-0004-0000-0000-000048000000}"/>
    <hyperlink ref="H34" r:id="rId68" xr:uid="{00000000-0004-0000-0000-000049000000}"/>
    <hyperlink ref="L39" r:id="rId69" xr:uid="{00000000-0004-0000-0000-00004A000000}"/>
    <hyperlink ref="H39" r:id="rId70" xr:uid="{00000000-0004-0000-0000-00004B000000}"/>
    <hyperlink ref="L15" r:id="rId71" xr:uid="{00000000-0004-0000-0000-00004C000000}"/>
    <hyperlink ref="L12" r:id="rId72" xr:uid="{00000000-0004-0000-0000-00004D000000}"/>
    <hyperlink ref="L43" r:id="rId73" xr:uid="{00000000-0004-0000-0000-00004E000000}"/>
    <hyperlink ref="L38" r:id="rId74" xr:uid="{00000000-0004-0000-0000-00004F000000}"/>
    <hyperlink ref="H15" r:id="rId75" xr:uid="{00000000-0004-0000-0000-000050000000}"/>
    <hyperlink ref="H12" r:id="rId76" xr:uid="{00000000-0004-0000-0000-000051000000}"/>
    <hyperlink ref="H43" r:id="rId77" xr:uid="{00000000-0004-0000-0000-000052000000}"/>
    <hyperlink ref="H38" r:id="rId78" xr:uid="{00000000-0004-0000-0000-000053000000}"/>
    <hyperlink ref="H66" r:id="rId79" xr:uid="{00000000-0004-0000-0000-000054000000}"/>
    <hyperlink ref="H65" r:id="rId80" xr:uid="{00000000-0004-0000-0000-000055000000}"/>
    <hyperlink ref="L66" r:id="rId81" xr:uid="{00000000-0004-0000-0000-000056000000}"/>
    <hyperlink ref="L65" r:id="rId82" xr:uid="{00000000-0004-0000-0000-000057000000}"/>
    <hyperlink ref="L67" r:id="rId83" xr:uid="{35E083E9-DBB8-44AC-A07B-CB72CDB67FB2}"/>
    <hyperlink ref="H67" r:id="rId84" xr:uid="{F8BDF7A4-0D98-40F9-81D3-3530BC3628F4}"/>
    <hyperlink ref="H5" r:id="rId85" xr:uid="{00000000-0004-0000-0000-00002E000000}"/>
    <hyperlink ref="L5" r:id="rId86" xr:uid="{9E82F17B-0FAE-474C-910C-220CF049E240}"/>
  </hyperlinks>
  <pageMargins left="0.17" right="0.17" top="0.25" bottom="0.25" header="0" footer="0"/>
  <pageSetup paperSize="17" scale="29" fitToHeight="0" orientation="landscape" r:id="rId87"/>
  <rowBreaks count="1" manualBreakCount="1">
    <brk id="55" max="16383" man="1"/>
  </rowBreaks>
  <ignoredErrors>
    <ignoredError sqref="Y14" formula="1"/>
  </ignoredErrors>
  <legacyDrawing r:id="rId8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24 with notes (tax year 2023</vt:lpstr>
      <vt:lpstr>'FY 24 with notes (tax year 2023'!Print_Area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Brouner, Lee</dc:creator>
  <cp:lastModifiedBy>Cannon, Shelia</cp:lastModifiedBy>
  <cp:lastPrinted>2023-11-21T15:09:57Z</cp:lastPrinted>
  <dcterms:created xsi:type="dcterms:W3CDTF">2015-03-25T18:15:22Z</dcterms:created>
  <dcterms:modified xsi:type="dcterms:W3CDTF">2024-01-25T17:43:41Z</dcterms:modified>
</cp:coreProperties>
</file>